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5460" activeTab="15"/>
  </bookViews>
  <sheets>
    <sheet name="титул" sheetId="26" r:id="rId1"/>
    <sheet name="5.3" sheetId="1" r:id="rId2"/>
    <sheet name="5.4" sheetId="2" r:id="rId3"/>
    <sheet name="5.5" sheetId="3" r:id="rId4"/>
    <sheet name="6.1" sheetId="4" r:id="rId5"/>
    <sheet name="6.2" sheetId="27" r:id="rId6"/>
    <sheet name="6.3" sheetId="28" r:id="rId7"/>
    <sheet name="6.4" sheetId="7" r:id="rId8"/>
    <sheet name="6.5" sheetId="8" r:id="rId9"/>
    <sheet name="6.6" sheetId="9" r:id="rId10"/>
    <sheet name="6.6а" sheetId="10" r:id="rId11"/>
    <sheet name="6.7" sheetId="12" r:id="rId12"/>
    <sheet name="6.8" sheetId="11" r:id="rId13"/>
    <sheet name="6.9" sheetId="13" r:id="rId14"/>
    <sheet name="6.10" sheetId="14" r:id="rId15"/>
    <sheet name="6.11" sheetId="15" r:id="rId16"/>
    <sheet name="6.12" sheetId="16" r:id="rId17"/>
    <sheet name="6.13" sheetId="17" r:id="rId18"/>
    <sheet name="7" sheetId="18" r:id="rId19"/>
    <sheet name="8.1" sheetId="19" r:id="rId20"/>
    <sheet name="8.2" sheetId="20" r:id="rId21"/>
    <sheet name="9.1" sheetId="21" r:id="rId22"/>
    <sheet name="10.1" sheetId="22" r:id="rId23"/>
    <sheet name="10.2" sheetId="23" r:id="rId24"/>
    <sheet name="11.1" sheetId="24" r:id="rId25"/>
    <sheet name="14" sheetId="25" r:id="rId26"/>
  </sheets>
  <definedNames>
    <definedName name="sub_100001" localSheetId="22">'10.1'!$O$2</definedName>
    <definedName name="sub_10011" localSheetId="22">'10.1'!$B$16</definedName>
    <definedName name="sub_10022" localSheetId="22">'10.1'!$B$21</definedName>
    <definedName name="sub_10100" localSheetId="23">'10.2'!$D$6</definedName>
    <definedName name="sub_10211" localSheetId="23">'10.2'!$B$18</definedName>
    <definedName name="sub_10222" localSheetId="23">'10.2'!$B$19</definedName>
    <definedName name="sub_11001" localSheetId="24">'11.1'!$B$2</definedName>
    <definedName name="sub_140001" localSheetId="25">'14'!$B$12</definedName>
    <definedName name="sub_140002" localSheetId="25">'14'!$B$29</definedName>
    <definedName name="sub_140003" localSheetId="25">'14'!$B$51</definedName>
    <definedName name="sub_50003" localSheetId="1">'5.3'!$Q$2</definedName>
    <definedName name="sub_50004" localSheetId="2">'5.4'!#REF!</definedName>
    <definedName name="sub_50005" localSheetId="3">'5.5'!$N$1</definedName>
    <definedName name="sub_53100" localSheetId="1">'5.3'!$C$5</definedName>
    <definedName name="sub_53111" localSheetId="1">'5.3'!$B$16</definedName>
    <definedName name="sub_53222" localSheetId="1">'5.3'!$B$18</definedName>
    <definedName name="sub_54100" localSheetId="2">'5.4'!$B$5</definedName>
    <definedName name="sub_55100" localSheetId="3">'5.5'!$A$5</definedName>
    <definedName name="sub_6006" localSheetId="9">'6.6'!$K$2</definedName>
    <definedName name="sub_6061" localSheetId="9">'6.6а'!$K$2</definedName>
    <definedName name="sub_61" localSheetId="4">'6.1'!$E$2</definedName>
    <definedName name="sub_610" localSheetId="14">'6.10'!$G$2</definedName>
    <definedName name="sub_611" localSheetId="15">'6.11'!$U$3</definedName>
    <definedName name="sub_612" localSheetId="16">'6.12'!$G$2</definedName>
    <definedName name="sub_613" localSheetId="17">'6.13'!$O$2</definedName>
    <definedName name="sub_62" localSheetId="5">'6.2'!$N$2</definedName>
    <definedName name="sub_63" localSheetId="6">'6.3'!$T$2</definedName>
    <definedName name="sub_64" localSheetId="7">'6.4'!$N$2</definedName>
    <definedName name="sub_65" localSheetId="8">'6.5'!$T$2</definedName>
    <definedName name="sub_67" localSheetId="9">'6.6'!$B$21</definedName>
    <definedName name="sub_68" localSheetId="12">'6.8'!$I$2</definedName>
    <definedName name="sub_69" localSheetId="13">'6.9'!$H$2</definedName>
    <definedName name="sub_80001" localSheetId="19">'8.1'!$Q$8</definedName>
    <definedName name="sub_80002" localSheetId="20">'8.2'!$W$2</definedName>
    <definedName name="sub_81011" localSheetId="19">'8.1'!$B$24</definedName>
    <definedName name="sub_81022" localSheetId="19">'8.1'!$B$25</definedName>
    <definedName name="sub_81033" localSheetId="19">'8.1'!$B$26</definedName>
    <definedName name="sub_82011" localSheetId="20">'8.2'!$B$23</definedName>
    <definedName name="sub_90001" localSheetId="21">'9.1'!$AS$3</definedName>
  </definedNames>
  <calcPr calcId="124519"/>
</workbook>
</file>

<file path=xl/calcChain.xml><?xml version="1.0" encoding="utf-8"?>
<calcChain xmlns="http://schemas.openxmlformats.org/spreadsheetml/2006/main">
  <c r="G104" i="15"/>
  <c r="G103"/>
  <c r="U88"/>
  <c r="U89"/>
  <c r="U84"/>
  <c r="U85"/>
  <c r="U70"/>
  <c r="U71"/>
  <c r="U72"/>
  <c r="U73"/>
  <c r="U65"/>
  <c r="U66"/>
  <c r="U48"/>
  <c r="U32"/>
  <c r="U33"/>
  <c r="S95"/>
  <c r="D111"/>
  <c r="D110"/>
  <c r="D109"/>
  <c r="D108"/>
  <c r="D107"/>
  <c r="D106"/>
  <c r="D105"/>
  <c r="D104"/>
  <c r="D103"/>
  <c r="D102"/>
  <c r="D101"/>
  <c r="D100"/>
  <c r="I106" l="1"/>
  <c r="G95"/>
  <c r="G105"/>
  <c r="G106"/>
  <c r="U79"/>
  <c r="U75"/>
  <c r="U77"/>
  <c r="U69"/>
  <c r="U60"/>
  <c r="U59"/>
  <c r="U58"/>
  <c r="U54"/>
  <c r="U49"/>
  <c r="H33" i="4"/>
  <c r="U45" i="15"/>
  <c r="U43"/>
  <c r="U41"/>
  <c r="U39"/>
  <c r="U37"/>
  <c r="U35"/>
  <c r="B98"/>
  <c r="U28"/>
  <c r="U24"/>
  <c r="U26"/>
  <c r="U22"/>
  <c r="U20"/>
  <c r="U18"/>
  <c r="U94"/>
  <c r="U92"/>
  <c r="U91"/>
  <c r="U87"/>
  <c r="U83"/>
  <c r="U81"/>
  <c r="U68"/>
  <c r="U64"/>
  <c r="U63"/>
  <c r="U56"/>
  <c r="U47"/>
  <c r="U31"/>
  <c r="U30"/>
  <c r="U15"/>
  <c r="U16"/>
  <c r="U14"/>
  <c r="U13"/>
  <c r="U52"/>
  <c r="U53"/>
  <c r="Z15" i="23"/>
  <c r="W15"/>
  <c r="T15"/>
  <c r="N15"/>
  <c r="K15"/>
  <c r="H15"/>
  <c r="Z14"/>
  <c r="W14"/>
  <c r="T14"/>
  <c r="N14"/>
  <c r="K14"/>
  <c r="H14"/>
  <c r="Z13"/>
  <c r="W13"/>
  <c r="R13"/>
  <c r="T13" s="1"/>
  <c r="T11" s="1"/>
  <c r="N13"/>
  <c r="K13"/>
  <c r="H13"/>
  <c r="AA11"/>
  <c r="Z11"/>
  <c r="Y11"/>
  <c r="X11"/>
  <c r="W11"/>
  <c r="V11"/>
  <c r="U11"/>
  <c r="S11"/>
  <c r="R11"/>
  <c r="O11"/>
  <c r="L11"/>
  <c r="N11" s="1"/>
  <c r="I11"/>
  <c r="K11" s="1"/>
  <c r="F11"/>
  <c r="H11" s="1"/>
  <c r="E11"/>
  <c r="D11"/>
  <c r="N11" i="22"/>
  <c r="N12"/>
  <c r="N10"/>
  <c r="J12"/>
  <c r="K12" s="1"/>
  <c r="J11"/>
  <c r="K11" s="1"/>
  <c r="K13" s="1"/>
  <c r="J10"/>
  <c r="K10" s="1"/>
  <c r="R20" i="20"/>
  <c r="P20"/>
  <c r="N20"/>
  <c r="L20"/>
  <c r="J20"/>
  <c r="H20"/>
  <c r="F20"/>
  <c r="D20"/>
  <c r="W19"/>
  <c r="V19"/>
  <c r="U19"/>
  <c r="T19"/>
  <c r="W18"/>
  <c r="V18"/>
  <c r="U18"/>
  <c r="T18"/>
  <c r="W17"/>
  <c r="V17"/>
  <c r="U17"/>
  <c r="T17"/>
  <c r="W16"/>
  <c r="V16"/>
  <c r="U16"/>
  <c r="T16"/>
  <c r="W15"/>
  <c r="V15"/>
  <c r="U15"/>
  <c r="T15"/>
  <c r="W14"/>
  <c r="V14"/>
  <c r="U14"/>
  <c r="T14"/>
  <c r="W13"/>
  <c r="V13"/>
  <c r="U13"/>
  <c r="T13"/>
  <c r="W12"/>
  <c r="V12"/>
  <c r="U12"/>
  <c r="T12"/>
  <c r="W11"/>
  <c r="V11"/>
  <c r="U11"/>
  <c r="T11"/>
  <c r="W10"/>
  <c r="W20" s="1"/>
  <c r="V10"/>
  <c r="V20" s="1"/>
  <c r="U10"/>
  <c r="U20" s="1"/>
  <c r="T10"/>
  <c r="T20" s="1"/>
  <c r="G34" i="18"/>
  <c r="E34"/>
  <c r="N34" i="17"/>
  <c r="M34"/>
  <c r="L34"/>
  <c r="K34"/>
  <c r="J34"/>
  <c r="I34"/>
  <c r="H34"/>
  <c r="G34"/>
  <c r="F34"/>
  <c r="E34"/>
  <c r="D34"/>
  <c r="C34"/>
  <c r="O33"/>
  <c r="O32"/>
  <c r="O31"/>
  <c r="O30"/>
  <c r="O29"/>
  <c r="O28"/>
  <c r="O27"/>
  <c r="O26"/>
  <c r="O25"/>
  <c r="O24"/>
  <c r="O23"/>
  <c r="O34" s="1"/>
  <c r="N21"/>
  <c r="M21"/>
  <c r="L21"/>
  <c r="K21"/>
  <c r="J21"/>
  <c r="I21"/>
  <c r="H21"/>
  <c r="G21"/>
  <c r="F21"/>
  <c r="E21"/>
  <c r="D21"/>
  <c r="C21"/>
  <c r="O20"/>
  <c r="O19"/>
  <c r="O18"/>
  <c r="O17"/>
  <c r="O16"/>
  <c r="O15"/>
  <c r="O14"/>
  <c r="O13"/>
  <c r="O12"/>
  <c r="O11"/>
  <c r="O10"/>
  <c r="O21" s="1"/>
  <c r="G9" i="16"/>
  <c r="G10"/>
  <c r="G11"/>
  <c r="G12"/>
  <c r="G13"/>
  <c r="G14"/>
  <c r="G15"/>
  <c r="G8"/>
  <c r="G16"/>
  <c r="U17" i="15"/>
  <c r="U19"/>
  <c r="U21"/>
  <c r="U23"/>
  <c r="U25"/>
  <c r="U27"/>
  <c r="U29"/>
  <c r="U34"/>
  <c r="U36"/>
  <c r="U38"/>
  <c r="U40"/>
  <c r="U42"/>
  <c r="U44"/>
  <c r="U46"/>
  <c r="U50"/>
  <c r="U51"/>
  <c r="U55"/>
  <c r="U57"/>
  <c r="U61"/>
  <c r="U62"/>
  <c r="U67"/>
  <c r="U74"/>
  <c r="U76"/>
  <c r="U78"/>
  <c r="U80"/>
  <c r="U82"/>
  <c r="U86"/>
  <c r="U90"/>
  <c r="U93"/>
  <c r="U12"/>
  <c r="T36" i="28"/>
  <c r="T35"/>
  <c r="T34"/>
  <c r="T33"/>
  <c r="T32"/>
  <c r="T31"/>
  <c r="F33"/>
  <c r="F31"/>
  <c r="D34"/>
  <c r="D33"/>
  <c r="D31"/>
  <c r="T21"/>
  <c r="T20"/>
  <c r="T19"/>
  <c r="T18"/>
  <c r="T17"/>
  <c r="T16"/>
  <c r="T15"/>
  <c r="T14"/>
  <c r="T12"/>
  <c r="T13"/>
  <c r="T11"/>
  <c r="T10"/>
  <c r="T9"/>
  <c r="S26" i="27"/>
  <c r="S25"/>
  <c r="S24"/>
  <c r="S22"/>
  <c r="S23"/>
  <c r="S21"/>
  <c r="S20"/>
  <c r="S19"/>
  <c r="S18"/>
  <c r="S17"/>
  <c r="S16"/>
  <c r="S15"/>
  <c r="S14"/>
  <c r="S13"/>
  <c r="S12"/>
  <c r="S11"/>
  <c r="S10"/>
  <c r="S9"/>
  <c r="S8"/>
  <c r="V10" i="2"/>
  <c r="R10"/>
  <c r="M10"/>
  <c r="G10"/>
  <c r="Q10" i="1"/>
  <c r="N10"/>
  <c r="U95" i="15" l="1"/>
</calcChain>
</file>

<file path=xl/sharedStrings.xml><?xml version="1.0" encoding="utf-8"?>
<sst xmlns="http://schemas.openxmlformats.org/spreadsheetml/2006/main" count="2194" uniqueCount="667">
  <si>
    <t>Таблица 5.3</t>
  </si>
  <si>
    <t>Потери и затраты теплоносителей</t>
  </si>
  <si>
    <t>Наименование системы централизованного теплоснабжения, населенного пункта*</t>
  </si>
  <si>
    <t>предшествующий базовому период</t>
  </si>
  <si>
    <t>базовый период</t>
  </si>
  <si>
    <t>утвержденный период</t>
  </si>
  <si>
    <t>период регулирования</t>
  </si>
  <si>
    <t>норматив, м3 (т)</t>
  </si>
  <si>
    <t>отчет, м3(т), в т.ч. факт. по приборам учета</t>
  </si>
  <si>
    <t>к утв. периоду гр.15 : гр. 10,</t>
  </si>
  <si>
    <t>значение**</t>
  </si>
  <si>
    <t>Учтено РЭК в тарифах</t>
  </si>
  <si>
    <t>значение</t>
  </si>
  <si>
    <t>предл. орг.</t>
  </si>
  <si>
    <t>Теплоноситель - вода (м3)</t>
  </si>
  <si>
    <t>Теплоноситель - пар (т)</t>
  </si>
  <si>
    <t>-</t>
  </si>
  <si>
    <t>Теплоноситель - конденсат (м3)</t>
  </si>
  <si>
    <t>* при предложении об утверждении нормативов, дифференцированных по системам централизованного теплоснабжения, данные приводятся по организации в целом и по каждой системе.</t>
  </si>
  <si>
    <t>** При отсутствии утвержденного норматива в Министерстве энергетики необходимо указать расчетное значение норматива, предложенного для включения в тариф (в этом случае графы 3, 7 и 11 не заполняются)</t>
  </si>
  <si>
    <t>% к среднегод. объему тепл. сети (расчетно)</t>
  </si>
  <si>
    <t>предл. эксп. орг.</t>
  </si>
  <si>
    <t>Таблица 5.4</t>
  </si>
  <si>
    <t>Потери тепловой энергии</t>
  </si>
  <si>
    <t>Наименование системы централизованного теплоснабжения, населенного пункта</t>
  </si>
  <si>
    <t>норматив, тыс. Гкал</t>
  </si>
  <si>
    <t>отчет, тыс. Гкал в т.ч. факт. по приборам учета</t>
  </si>
  <si>
    <t>Отпуск тепловой энергии в сеть, тыс. Гкал</t>
  </si>
  <si>
    <t>% к отпуску (гр. 2:гр. 6)</t>
  </si>
  <si>
    <t>норматив, тыс. Гкал.</t>
  </si>
  <si>
    <t>% к отпуску (гр. 8:гр. 12)</t>
  </si>
  <si>
    <t>% к отпуску (гр. 20:гр. 21)</t>
  </si>
  <si>
    <t>к утв. периоду гр.20: гр. 14,</t>
  </si>
  <si>
    <t>Теплоноситель - вода</t>
  </si>
  <si>
    <t>Теплоноситель - пар</t>
  </si>
  <si>
    <t>Теплоноситель - конденсат</t>
  </si>
  <si>
    <t>% к отпуску (гр. 14: гр. 17)</t>
  </si>
  <si>
    <t>Таблица 5.5</t>
  </si>
  <si>
    <t>Расход электроэнергии</t>
  </si>
  <si>
    <t>Наименование</t>
  </si>
  <si>
    <t>системы централизованного теплоснабжения, населенного</t>
  </si>
  <si>
    <t>пункта</t>
  </si>
  <si>
    <t>норматив тыс.кВтч</t>
  </si>
  <si>
    <t>отчет, тыс. кВтч в т.ч. факт. по приборам учета</t>
  </si>
  <si>
    <t>норматив, тыс.кВтч</t>
  </si>
  <si>
    <t>к утв. периоду гр.14: гр. 10</t>
  </si>
  <si>
    <t>Таблица 6.1</t>
  </si>
  <si>
    <t>Сопоставление условий, принятых при разработке энергетических характеристик (нормативов технологических потерь на год, предшествующий регулируемому периоду), и при разработке нормативов технологических потерь на регулируемый период</t>
  </si>
  <si>
    <t>Условия работы тепловых сетей</t>
  </si>
  <si>
    <t>регулирования</t>
  </si>
  <si>
    <t>Изменение или % изменения величины</t>
  </si>
  <si>
    <t>Объем трубопроводов тепловых сетей, м3</t>
  </si>
  <si>
    <t>Материальная характеристика трубопроводов тепловых сетей, м2</t>
  </si>
  <si>
    <t>Эксплуатационный температурный график</t>
  </si>
  <si>
    <t>Суммарная установленная мощность электродвигателей насосов, кВт</t>
  </si>
  <si>
    <t>Прогнозируемые на период регулирования</t>
  </si>
  <si>
    <t>Принятые при разработке энергетических характеристик или нормативов</t>
  </si>
  <si>
    <t>Таблица 6.2</t>
  </si>
  <si>
    <t>Наименование участка</t>
  </si>
  <si>
    <t>Теплоизоляционный материал</t>
  </si>
  <si>
    <t>Год ввода в эксплуатацию (перекладки)</t>
  </si>
  <si>
    <t>Часовые тепловые потери, ккал/ч</t>
  </si>
  <si>
    <t>Наружный диаметр трубопроводов на участке D_н, м</t>
  </si>
  <si>
    <t>Средняя глубина заложения до оси трубопроводов на участке H, м</t>
  </si>
  <si>
    <t>Температурный график работы тепловой сети с указанием температуры срезки, °С</t>
  </si>
  <si>
    <t>Поправочный коэффициент к нормам тепловых потерь, К</t>
  </si>
  <si>
    <t>Таблица 6.3</t>
  </si>
  <si>
    <t>95/70</t>
  </si>
  <si>
    <t>Двухтрубная прокладка</t>
  </si>
  <si>
    <t>Средняя глубина заложения оси трубопроводов Н, м</t>
  </si>
  <si>
    <t>Таблица 6.4</t>
  </si>
  <si>
    <t>Тип прокладки*</t>
  </si>
  <si>
    <t>Толщина стенки, м</t>
  </si>
  <si>
    <t>Внутренние размеры канала</t>
  </si>
  <si>
    <t>ширина канала b, м</t>
  </si>
  <si>
    <t>высота канала h, м</t>
  </si>
  <si>
    <t>Длина участка паропровода L, м</t>
  </si>
  <si>
    <t>Толщина теплоизоляционного слоя, м</t>
  </si>
  <si>
    <t>* Для подземной прокладки указать вид грунта (песок, супесь, глина, суглинок, гравий, щебень) и степень его увлажнения (сухой, влажный, водонасыщенный).</t>
  </si>
  <si>
    <t>Таблица 6.5</t>
  </si>
  <si>
    <t>Участок</t>
  </si>
  <si>
    <t>Отвод 90°</t>
  </si>
  <si>
    <t>Отвод 30°</t>
  </si>
  <si>
    <t>Тройник на закрытый проход</t>
  </si>
  <si>
    <t>Задвижка</t>
  </si>
  <si>
    <t>Сумма</t>
  </si>
  <si>
    <t>местных</t>
  </si>
  <si>
    <t>сопротивлений</t>
  </si>
  <si>
    <t>по участкам</t>
  </si>
  <si>
    <t>Суммарное</t>
  </si>
  <si>
    <t>термическое</t>
  </si>
  <si>
    <t>сопротивление по</t>
  </si>
  <si>
    <t>участкам</t>
  </si>
  <si>
    <t>Кол-во</t>
  </si>
  <si>
    <t>Сумма кси</t>
  </si>
  <si>
    <t>R, (m x r х C)/ккал</t>
  </si>
  <si>
    <t>Таблица 6.6</t>
  </si>
  <si>
    <t>Параметры и расходы пара по участкам</t>
  </si>
  <si>
    <t>Расход, т/ч</t>
  </si>
  <si>
    <t>Температура, °С</t>
  </si>
  <si>
    <t>Абсолютное давление, кгс/см2</t>
  </si>
  <si>
    <t>Энтальпия, ккал/кг</t>
  </si>
  <si>
    <t>G_i</t>
  </si>
  <si>
    <t>в начале участка</t>
  </si>
  <si>
    <t>тау_1i</t>
  </si>
  <si>
    <t>в конце участка тау_2i</t>
  </si>
  <si>
    <t>средняя на участке тау(ср.)_i</t>
  </si>
  <si>
    <t>в начале участка р_1i</t>
  </si>
  <si>
    <t>в конце участка p_2i</t>
  </si>
  <si>
    <t>среднее на участке p(ср.)_i</t>
  </si>
  <si>
    <t>в начале участка h_1i</t>
  </si>
  <si>
    <t>в конце участка h_2i</t>
  </si>
  <si>
    <t>Таблица 6.6а</t>
  </si>
  <si>
    <t>Параметры пара в паропроводе</t>
  </si>
  <si>
    <t>Паропровод</t>
  </si>
  <si>
    <t>Температура, °C</t>
  </si>
  <si>
    <t>начало паропровода</t>
  </si>
  <si>
    <t>тау_1</t>
  </si>
  <si>
    <t>конец паропровода тау_2</t>
  </si>
  <si>
    <t>средняя на паропроводе тау_ср</t>
  </si>
  <si>
    <t>р_1</t>
  </si>
  <si>
    <t>конец паропровода</t>
  </si>
  <si>
    <t>р_2</t>
  </si>
  <si>
    <t>среднее на паропроводе</t>
  </si>
  <si>
    <t>р_ср</t>
  </si>
  <si>
    <t>начало паропровода h_1</t>
  </si>
  <si>
    <t>конец паропровода h_2</t>
  </si>
  <si>
    <t>средняя на паропроводе</t>
  </si>
  <si>
    <t>h_ср</t>
  </si>
  <si>
    <t>Таблица 6.7</t>
  </si>
  <si>
    <t>Сезон</t>
  </si>
  <si>
    <t>Температурные графики</t>
  </si>
  <si>
    <t>150/70</t>
  </si>
  <si>
    <t>Отопительный</t>
  </si>
  <si>
    <t>Неотопительный</t>
  </si>
  <si>
    <r>
      <t>Примечание:</t>
    </r>
    <r>
      <rPr>
        <sz val="13"/>
        <color theme="1"/>
        <rFont val="Arial"/>
        <family val="2"/>
        <charset val="204"/>
      </rPr>
      <t xml:space="preserve"> заполняется раздельно для каждого вида теплоносителя.</t>
    </r>
  </si>
  <si>
    <t>Таблица 6.8</t>
  </si>
  <si>
    <t>Среднемесячные, среднесезонные и среднегодовые температуры наружного воздуха, грунта, сетевой и холодной воды</t>
  </si>
  <si>
    <t>Месяц</t>
  </si>
  <si>
    <t>Число часов работы</t>
  </si>
  <si>
    <t>отопит. период</t>
  </si>
  <si>
    <t>летний период</t>
  </si>
  <si>
    <t>наружного воздуха</t>
  </si>
  <si>
    <t>подающего тр-да</t>
  </si>
  <si>
    <t>обратного тр-да</t>
  </si>
  <si>
    <t>холодной воды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</si>
  <si>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</si>
  <si>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</si>
  <si>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</si>
  <si>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</si>
  <si>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</si>
  <si>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</si>
  <si>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</si>
  <si>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</si>
  <si>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</si>
  <si>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</si>
  <si>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</si>
  <si>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</si>
  <si>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Среднегодовые значения</t>
  </si>
  <si>
    <t>неотопит. период</t>
  </si>
  <si>
    <t>грунта на глубине 2,4 м</t>
  </si>
  <si>
    <t>Таблица 6.9</t>
  </si>
  <si>
    <t>Среднемесячные и среднегодовые температуры, давления и расходы пара</t>
  </si>
  <si>
    <t>Месяцы</t>
  </si>
  <si>
    <t>Источник тепловой энергии</t>
  </si>
  <si>
    <t>Потребитель 1</t>
  </si>
  <si>
    <t>Потребитель 2</t>
  </si>
  <si>
    <t>температура, °С</t>
  </si>
  <si>
    <t>расход, т/ч</t>
  </si>
  <si>
    <t>Абсолютное давление теплоносителя, кгс/см2</t>
  </si>
  <si>
    <t>Таблица 6.10</t>
  </si>
  <si>
    <t>Тип САРЗ</t>
  </si>
  <si>
    <t>Количество, шт.</t>
  </si>
  <si>
    <t>Расход теплоносителя, м3/ч</t>
  </si>
  <si>
    <t>Место установки (под./обр. тр-д)</t>
  </si>
  <si>
    <t>Таблица 6.11</t>
  </si>
  <si>
    <t>Сведения по насосному оборудованию</t>
  </si>
  <si>
    <t>Параметры работы в период с характерной температурой наружного воздуха</t>
  </si>
  <si>
    <t>Характерная тем-ра наружного воздуха, °С</t>
  </si>
  <si>
    <t>Число насосов, одновременно находящихся в работе, шт.</t>
  </si>
  <si>
    <t>Подача насоса, м3/ч</t>
  </si>
  <si>
    <t>Нормируемая мощность насосной станции (ЦТП), кВт</t>
  </si>
  <si>
    <t>Число часов работы насосов, ч</t>
  </si>
  <si>
    <t>Нормативные технологические затраты эл. энергии насосной станции (ЦТП), кВт х ч</t>
  </si>
  <si>
    <t>Таблица 6.12</t>
  </si>
  <si>
    <t>Данные по приводам запорно-регулирующей арматуры</t>
  </si>
  <si>
    <t>Тип (марка) приводов</t>
  </si>
  <si>
    <t>КПД, %</t>
  </si>
  <si>
    <t>Таблица 6.13</t>
  </si>
  <si>
    <t>Данные по фактическим затратам электроэнергии</t>
  </si>
  <si>
    <t>насосной станции (ЦТП)</t>
  </si>
  <si>
    <t>Затраты электроэнергии, кВт х ч</t>
  </si>
  <si>
    <t>ян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</si>
  <si>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</si>
  <si>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</si>
  <si>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</si>
  <si>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</si>
  <si>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</si>
  <si>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</si>
  <si>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</si>
  <si>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</si>
  <si>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</si>
  <si>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</si>
  <si>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дек</t>
  </si>
  <si>
    <t>год</t>
  </si>
  <si>
    <t>Приложение 7</t>
  </si>
  <si>
    <t>к порядку определения</t>
  </si>
  <si>
    <t>нормативов технологических потерь</t>
  </si>
  <si>
    <t>при передаче тепловой энергии,</t>
  </si>
  <si>
    <t>теплоносителя</t>
  </si>
  <si>
    <t>Общие сведения об энергоснабжающей (теплосетевой) организации</t>
  </si>
  <si>
    <t>Наименование системы теплоснабжения</t>
  </si>
  <si>
    <t>в паре, т/ч</t>
  </si>
  <si>
    <t>Собственные источники тепловой энергии:</t>
  </si>
  <si>
    <t>ТЭЦ-1</t>
  </si>
  <si>
    <t>Источники тепловой энергии других ЭСО:</t>
  </si>
  <si>
    <t>Котельная 1</t>
  </si>
  <si>
    <t>Котельная 2</t>
  </si>
  <si>
    <t>ЭСО-2 (наименование)</t>
  </si>
  <si>
    <t>ЭСО-3 (наименование)</t>
  </si>
  <si>
    <t>Всего по ЭСО (ТСО)</t>
  </si>
  <si>
    <t>Приложение 8</t>
  </si>
  <si>
    <t>Общая характеристика систем теплоснабжения</t>
  </si>
  <si>
    <t>Таблица 8.1</t>
  </si>
  <si>
    <t>Структура отпуска, потребления тепловой энергии</t>
  </si>
  <si>
    <t>Отпуск тепловой энергии из сети (потребителям), тыс. Гкал</t>
  </si>
  <si>
    <t>отчетный</t>
  </si>
  <si>
    <t>плановый</t>
  </si>
  <si>
    <t>Примечания:</t>
  </si>
  <si>
    <t>Таблица 8.2</t>
  </si>
  <si>
    <t>Структура расчетной присоединенной тепловой нагрузки</t>
  </si>
  <si>
    <t>Присоединенная тепловая нагрузка к тепловой сети, Гкал/ч</t>
  </si>
  <si>
    <t>предшествующий базовому периоду</t>
  </si>
  <si>
    <t>на отоп.- вент.</t>
  </si>
  <si>
    <t>на ГВС (ср. нед)</t>
  </si>
  <si>
    <t>на ГВС (макс)</t>
  </si>
  <si>
    <t>на технологию</t>
  </si>
  <si>
    <t>Таблица 9.1</t>
  </si>
  <si>
    <t>Общая характеристика систем транспорта и распределения тепловой энергии (тепловых сетей)</t>
  </si>
  <si>
    <t>Тип теплоносителя, его параметры(1)</t>
  </si>
  <si>
    <t>Протяженность трубопроводов тепловых сетей в однотрубном исчислении, м</t>
  </si>
  <si>
    <t>Средний (по материальной характеристике) наружный диаметр трубопроводов тепловых сетей, м</t>
  </si>
  <si>
    <t>Количество насосных станций в эксплуатационной ответственности, шт</t>
  </si>
  <si>
    <t>предшествующий базовому</t>
  </si>
  <si>
    <t>Примечание:</t>
  </si>
  <si>
    <t>Таблица 10.1</t>
  </si>
  <si>
    <t>Нормативы технологических затрат и потерь при передаче тепловой энергии на регулируемый период</t>
  </si>
  <si>
    <t>Наименование населенного пункта</t>
  </si>
  <si>
    <t>Годовые затраты и потери теплоносителя(2), м3 (т)</t>
  </si>
  <si>
    <t>Годовые затраты и потери тепловой энергии, Гкал</t>
  </si>
  <si>
    <t>с утечкой</t>
  </si>
  <si>
    <t>технологические затраты</t>
  </si>
  <si>
    <t>всего</t>
  </si>
  <si>
    <t>через изоляцию</t>
  </si>
  <si>
    <t>с затратами теплоносителя</t>
  </si>
  <si>
    <t>на пусковое заполнение</t>
  </si>
  <si>
    <t>на регламентные испытания</t>
  </si>
  <si>
    <t>со сливами САРЗ</t>
  </si>
  <si>
    <t>Таблица 10.2</t>
  </si>
  <si>
    <t>Сводные данные по нормативам технологических затрат и потерь при передаче тепловой энергии</t>
  </si>
  <si>
    <t>Годовые затраты электроэнергии, кВт х ч</t>
  </si>
  <si>
    <t>отчетные за период в т.ч. факт. по приборам учета</t>
  </si>
  <si>
    <t>нормативные на период</t>
  </si>
  <si>
    <t>базовый</t>
  </si>
  <si>
    <t>утвержденный (текущий)</t>
  </si>
  <si>
    <t>регулирование (всего)</t>
  </si>
  <si>
    <t>регулирования (всего)</t>
  </si>
  <si>
    <t>утвержденный</t>
  </si>
  <si>
    <t>Таблица 11.1</t>
  </si>
  <si>
    <t>N пп</t>
  </si>
  <si>
    <t>Наименование мероприятия, его техническая сущность</t>
  </si>
  <si>
    <t>Ожидаемый энергетический эффект</t>
  </si>
  <si>
    <t>Приложение N 14</t>
  </si>
  <si>
    <t>Динамика основных показателей работы тепловых сетей</t>
  </si>
  <si>
    <t>NN пп.</t>
  </si>
  <si>
    <t>Показатели*</t>
  </si>
  <si>
    <t>Предбазовый период</t>
  </si>
  <si>
    <t>Базовый период</t>
  </si>
  <si>
    <t>Утвержденный период</t>
  </si>
  <si>
    <t>Регулируемый период</t>
  </si>
  <si>
    <t>отчет, в т.ч факт. потери по приборам учета</t>
  </si>
  <si>
    <t>план</t>
  </si>
  <si>
    <t>расчет</t>
  </si>
  <si>
    <t>теплоноситель</t>
  </si>
  <si>
    <t>потери и затраты теплоносителя, т(м3):</t>
  </si>
  <si>
    <t>пар</t>
  </si>
  <si>
    <t>конденсат</t>
  </si>
  <si>
    <t>вода</t>
  </si>
  <si>
    <t>среднегодовой объем тепловых сетей, м3:</t>
  </si>
  <si>
    <t>отношение потерь и затрат теплоносителя к среднегодовому объему тепловых сетей, %:</t>
  </si>
  <si>
    <t>отношение потерь и затрат теплоносителя к среднегодовому объему тепловых сетей, %/час (п. 1.3:8 760):</t>
  </si>
  <si>
    <t>тепловая энергия</t>
  </si>
  <si>
    <t>потери тепловой энергии, тыс. Гкал:</t>
  </si>
  <si>
    <t>материальная характеристика тепловых сетей в однотрубном исчислении, м2</t>
  </si>
  <si>
    <t>отпуск тепловой энергии в сеть, тыс. Гкал:</t>
  </si>
  <si>
    <t>суммарная присоединенная тепловая нагрузка к тепловой сети, Гкал/ч:</t>
  </si>
  <si>
    <t>отношение потерь тепловой энергии относительно материальной характеристики, Гкал/м2:</t>
  </si>
  <si>
    <t>отношение потерь тепловой энергии к отпуску тепловой энергии в сеть, %:</t>
  </si>
  <si>
    <t>электрическая энергия</t>
  </si>
  <si>
    <t>расход электроэнергии. тыс. кВт х ч</t>
  </si>
  <si>
    <t>количество, ед:</t>
  </si>
  <si>
    <t>ПНС</t>
  </si>
  <si>
    <t>ЦТП</t>
  </si>
  <si>
    <t>Перечень мероприятий по повышению энергетической эффективности работы тепловых сетей</t>
  </si>
  <si>
    <t>Срок окупаемости, год</t>
  </si>
  <si>
    <t>Сроки начала и окончания проведения мероприятия</t>
  </si>
  <si>
    <t>в денежном выражении, тыс. руб.</t>
  </si>
  <si>
    <t>в натуральном выражении</t>
  </si>
  <si>
    <t>(1) тип теплоносителя: горячая вода, пар, конденсат; для пара указать параметры (отборный; 1,2 - 2,5 кгс/см2; 2,5 - 7 кгс/см2; 7 - 13 кгс/см2; &gt;13 кгс/см2; острый).</t>
  </si>
  <si>
    <t>(2) годовые потери теплоносителя "горячая вода" приводятся в м3, "пар" - в тоннах.</t>
  </si>
  <si>
    <t>Наименование системы теплоснабжения, населенного пункта</t>
  </si>
  <si>
    <t>Наименование предприятия (филиала ЭСО), эксплуатирующего тепловые сети</t>
  </si>
  <si>
    <t>Тип теплоносителя, его параметры (1)</t>
  </si>
  <si>
    <t>предшест-вующий базовому периоду</t>
  </si>
  <si>
    <t>отопите-льный период</t>
  </si>
  <si>
    <t>утвержден-ный период</t>
  </si>
  <si>
    <t>утверж-денный период</t>
  </si>
  <si>
    <t>период регули-рования</t>
  </si>
  <si>
    <t>(1) для пара указать параметры (отборный; 1,2 - 2,5 кгс/см2; 2,5 - 7 кгс/см2; 7 - 13 кгс/см2; &gt;13 кгс/см2; острый).</t>
  </si>
  <si>
    <t>Суммарные нагрузки (отоп.-вент, ГВС (ср. нед), технология), Гкал/ч</t>
  </si>
  <si>
    <t>(2) тип теплоносителя: горячая вода, пар, конденсат; для пара указать параметры (отборный; 1,2 - 2,5 кгс/см2; 2,5 - 7 кгс/см2; 7 - 13 кгс/см2; &gt;13 кгс/см2; острый).</t>
  </si>
  <si>
    <t>(1) при открытой системе теплоснабжения и подключении местных систем ГВС как по зависимой, так и независимой схемам, указать и суммарной нагрузке ГВС долю нагрузки ГВС тех потребителей, системы теплопотребления которых подключены по зависимой схеме.</t>
  </si>
  <si>
    <t>(3) базовый период - период, предшествующий утвержденному (текущему).</t>
  </si>
  <si>
    <t>(4) утвержденный (текущий) период - текущий год, на который действуют принятые регулирующим органом нормативы технологических потерь, учтенные в тарифах на передачу тепловой энергии.</t>
  </si>
  <si>
    <t>Тип системы теплоснабжения (1)</t>
  </si>
  <si>
    <t>Тип теплоносителя, его параметры (2)</t>
  </si>
  <si>
    <t>базовый (3) период</t>
  </si>
  <si>
    <t>предщест-вующий базовому периоду</t>
  </si>
  <si>
    <t>утверж-денный (4) период</t>
  </si>
  <si>
    <t>Наименование источника теплоснабжения</t>
  </si>
  <si>
    <t>Установленная тепловая мощность источника</t>
  </si>
  <si>
    <t>Располагаемая тепловая мощность источника</t>
  </si>
  <si>
    <t>в горячей воде, Гкал/ч</t>
  </si>
  <si>
    <t>Нормативные годовые затраты электроэнергии, кВт х ч</t>
  </si>
  <si>
    <t>Годовое число часов работы, ч</t>
  </si>
  <si>
    <t>Установленная мощность, кВт</t>
  </si>
  <si>
    <t>Тип электродвигателя</t>
  </si>
  <si>
    <t>Напор насоса, м</t>
  </si>
  <si>
    <t>КПД насоса</t>
  </si>
  <si>
    <t>Диаметр рабочего колеса / диаметр колеса после обрезки, мм</t>
  </si>
  <si>
    <t>Нормативный расход теплоносителя через насосную станцию (ЦТП), т/ч</t>
  </si>
  <si>
    <t>Наименование насосной станции (ЦТП). Назначение</t>
  </si>
  <si>
    <t>Продолжительность работы насосной станции (ЦТП) в период регулирования, ч (период работы)</t>
  </si>
  <si>
    <t>Продолжительность работы в течение года, ч</t>
  </si>
  <si>
    <t>Нормативные годовые потери и затраты теплоносителя, м3 (т)</t>
  </si>
  <si>
    <r>
      <t>(1) тип теплоносителя: горячая вода, пар, конденсат; для пара указать параметры (отборный; 1,2 - 2,5 кгс/см</t>
    </r>
    <r>
      <rPr>
        <vertAlign val="superscript"/>
        <sz val="13"/>
        <color theme="1"/>
        <rFont val="Arial"/>
        <family val="2"/>
        <charset val="204"/>
      </rPr>
      <t>2</t>
    </r>
    <r>
      <rPr>
        <sz val="13"/>
        <color theme="1"/>
        <rFont val="Arial"/>
        <family val="2"/>
        <charset val="204"/>
      </rPr>
      <t>; 2,5 - 7 кгс/см</t>
    </r>
    <r>
      <rPr>
        <vertAlign val="superscript"/>
        <sz val="13"/>
        <color theme="1"/>
        <rFont val="Arial"/>
        <family val="2"/>
        <charset val="204"/>
      </rPr>
      <t>2</t>
    </r>
    <r>
      <rPr>
        <sz val="13"/>
        <color theme="1"/>
        <rFont val="Arial"/>
        <family val="2"/>
        <charset val="204"/>
      </rPr>
      <t>; 7 - 13 кгс/см</t>
    </r>
    <r>
      <rPr>
        <vertAlign val="superscript"/>
        <sz val="13"/>
        <color theme="1"/>
        <rFont val="Arial"/>
        <family val="2"/>
        <charset val="204"/>
      </rPr>
      <t>2</t>
    </r>
    <r>
      <rPr>
        <sz val="13"/>
        <color theme="1"/>
        <rFont val="Arial"/>
        <family val="2"/>
        <charset val="204"/>
      </rPr>
      <t>; &gt;13 кгс/см</t>
    </r>
    <r>
      <rPr>
        <vertAlign val="superscript"/>
        <sz val="13"/>
        <color theme="1"/>
        <rFont val="Arial"/>
        <family val="2"/>
        <charset val="204"/>
      </rPr>
      <t>2</t>
    </r>
    <r>
      <rPr>
        <sz val="13"/>
        <color theme="1"/>
        <rFont val="Arial"/>
        <family val="2"/>
        <charset val="204"/>
      </rPr>
      <t>; острый).</t>
    </r>
  </si>
  <si>
    <r>
      <t>Годовые затраты и потери теплоносителя(2),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(т)</t>
    </r>
  </si>
  <si>
    <t>Приказ Министерства энергетики РФ от 30 декабря 2008 г. N 325</t>
  </si>
  <si>
    <t>"Об утверждении порядка определения нормативов технологических потерь при передаче тепловой энергии, теплоносителя"</t>
  </si>
  <si>
    <t>С изменениями и дополнениями от:</t>
  </si>
  <si>
    <t>1 февраля 2010 г., 10 августа 2012 г.</t>
  </si>
  <si>
    <t>Приложения 5-14 к вышеуказанному приказу (приложения 1-4 - таблицы с нормами тепловых потерь трубопроводов)</t>
  </si>
  <si>
    <t>Объем, м3, трубопроводов тепловых сетей на балансе организации</t>
  </si>
  <si>
    <t>Исходные данные по характеристике паровых тепловых сетей на балансе</t>
  </si>
  <si>
    <t>Исходные данные по местным сопротивлениям и суммарным термическим сопротивлениям паровых тепловых сетей на балансе</t>
  </si>
  <si>
    <t>Паспортная мощность электро-двигателя, кВт</t>
  </si>
  <si>
    <t>Наличие ЧРП (есть/нет)</t>
  </si>
  <si>
    <t>КПД ЧРП, %</t>
  </si>
  <si>
    <t>данные по фактическим затратам электроэнергии за 2012-2014 гг.</t>
  </si>
  <si>
    <t>Количество ЦТП в эксплуатационной ответственности, шт</t>
  </si>
  <si>
    <t>Температурный график работы теплосети</t>
  </si>
  <si>
    <t>Марка насоса (место установки - подающий или обратный трубопровод)</t>
  </si>
  <si>
    <t>Частота вращения, об/мин</t>
  </si>
  <si>
    <t>Назначение теплосети (отопление, ГВС)</t>
  </si>
  <si>
    <t>Наружный диаметр трубопроводов на участке D_н (подающий трубопровод), м</t>
  </si>
  <si>
    <t>Наружный диаметр трубопроводов на участке D_н (обратный трубопровод), м</t>
  </si>
  <si>
    <t>Длина участка (в однотрубном исчислении, подающий трубопровод), L, м</t>
  </si>
  <si>
    <t>Длина участка (в однотрубном исчислении, обратный трубопровод), L, м</t>
  </si>
  <si>
    <t>Наружный диаметр трубопроводов на участке D_н, м (подающий трубопровод)</t>
  </si>
  <si>
    <t>Длина трубопровода (в однотрубном исчислении), м (подающий трубопровод)</t>
  </si>
  <si>
    <t>Наружный диаметр трубопроводов на участке D_н, м (обратный трубопровод)</t>
  </si>
  <si>
    <t>Длина трубопровода (в однотрубном исчислении), м (обратный трубопровод)</t>
  </si>
  <si>
    <t>Продолжи-тельность функциони-рования подающего трубопровода, час/год</t>
  </si>
  <si>
    <t>Продолжи-тельность функциони-рования обратного трубопровода, час/год</t>
  </si>
  <si>
    <t>Средний расход теплоносителя через насосную станцию (ЦТП) за период работы, т/ч</t>
  </si>
  <si>
    <t>Тепло-изоляционный материал подающего трубопровода</t>
  </si>
  <si>
    <t>Тепло-изоляционный материал обратного трубопровода</t>
  </si>
  <si>
    <t>Тип прокладки подающего трубопровода</t>
  </si>
  <si>
    <t>Тип прокладки обратного трубопровода</t>
  </si>
  <si>
    <t>Год ввода в эксплуатацию (перекладки) обратного трубопровода</t>
  </si>
  <si>
    <t>Год ввода в эксплуатацию (перекладки) подающего трубопровода</t>
  </si>
  <si>
    <t>Поправочный коэффициент к нормам тепловых потерь, К, подающий трубопровод</t>
  </si>
  <si>
    <t>Поправочный коэффициент к нормам тепловых потерь, К, обратный трубопровод</t>
  </si>
  <si>
    <t>Теплоизоляционный материал подающего трубопровода</t>
  </si>
  <si>
    <t>Теплоизоляционный материал обратного трубопровода</t>
  </si>
  <si>
    <t>г. Анадырь</t>
  </si>
  <si>
    <t>151 от 19.12.12</t>
  </si>
  <si>
    <t>145 от 22.11.13</t>
  </si>
  <si>
    <t>52-с 06.05.15</t>
  </si>
  <si>
    <t>N и дата приказа Департамента ППСиЖКХ ЧАО</t>
  </si>
  <si>
    <t>2. Второй контур ТС от ЦТП № 1-11  до потребителей</t>
  </si>
  <si>
    <t>1. Первый контур ТС от АнТЭЦ и ГМ ТЭЦ до ЦТП № 1-10</t>
  </si>
  <si>
    <t>3. Второй контур ГВС от ЦТП № 1-11 до потребителей</t>
  </si>
  <si>
    <r>
      <t>135-75</t>
    </r>
    <r>
      <rPr>
        <sz val="10"/>
        <color theme="1"/>
        <rFont val="Calibri"/>
        <family val="2"/>
        <charset val="204"/>
      </rPr>
      <t>⁰</t>
    </r>
    <r>
      <rPr>
        <sz val="8.5"/>
        <color theme="1"/>
        <rFont val="Arial"/>
        <family val="2"/>
        <charset val="204"/>
      </rPr>
      <t>С</t>
    </r>
  </si>
  <si>
    <r>
      <t>95-70</t>
    </r>
    <r>
      <rPr>
        <sz val="10"/>
        <color theme="1"/>
        <rFont val="Calibri"/>
        <family val="2"/>
        <charset val="204"/>
      </rPr>
      <t>⁰</t>
    </r>
    <r>
      <rPr>
        <sz val="8.5"/>
        <color theme="1"/>
        <rFont val="Arial"/>
        <family val="2"/>
        <charset val="204"/>
      </rPr>
      <t>С</t>
    </r>
  </si>
  <si>
    <t>Ан ТЭЦ - УТ1 (УТ24)</t>
  </si>
  <si>
    <t>ГМ ТЭЦ - УТ14</t>
  </si>
  <si>
    <t>ГМ ТЭЦ - УТ10</t>
  </si>
  <si>
    <t>УТ14 - УТ16</t>
  </si>
  <si>
    <t>УТ14 - УТ1</t>
  </si>
  <si>
    <t>УТ1 (УТ24) - ЦТП №9</t>
  </si>
  <si>
    <t>УТ10 - УТ3 (УТ12)</t>
  </si>
  <si>
    <t>УТ10 - ЦТП № 5,7</t>
  </si>
  <si>
    <t>УТ-2  - ЦТП № 8</t>
  </si>
  <si>
    <t>УТ1 (УТ24) - УТ3 (УТ12)</t>
  </si>
  <si>
    <t>УТ3 (УТ-12) - ЦТП № 4</t>
  </si>
  <si>
    <t>УТ1б/11 - ЦТП № 11</t>
  </si>
  <si>
    <t>УТ3 (УТ12) - УТ4</t>
  </si>
  <si>
    <t>УТ4 - ЦТП №1</t>
  </si>
  <si>
    <t>УТ4 - УТ6</t>
  </si>
  <si>
    <t>УТ6 - ЦТП №2</t>
  </si>
  <si>
    <t>УТ6- УТ8</t>
  </si>
  <si>
    <t>УТ8 - ЦТП №6</t>
  </si>
  <si>
    <t>УТ8 - ЦТП №3</t>
  </si>
  <si>
    <t>минералловатные маты</t>
  </si>
  <si>
    <t>ТС и ГВС</t>
  </si>
  <si>
    <t>Наземная</t>
  </si>
  <si>
    <r>
      <t>135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75</t>
    </r>
    <r>
      <rPr>
        <vertAlign val="superscript"/>
        <sz val="10"/>
        <rFont val="Arial"/>
        <family val="2"/>
        <charset val="204"/>
      </rPr>
      <t>0</t>
    </r>
    <r>
      <rPr>
        <sz val="10"/>
        <rFont val="Arial"/>
        <family val="2"/>
        <charset val="204"/>
      </rPr>
      <t>С  (80⁰С)</t>
    </r>
  </si>
  <si>
    <t>Исходные данные по характеристике водяных тепловых сетей после ЦТП на балансе организации (второй контур ТС)</t>
  </si>
  <si>
    <t>Исходные данные по характеристике водяных тепловых сетей после ЦТП на балансе организации (ГВС)</t>
  </si>
  <si>
    <t>Исходные данные по характеристике водяных тепловых сетей на балансе до ЦТП  (первый контур ТС)</t>
  </si>
  <si>
    <t>от ЦТП № 1 - 6, 8</t>
  </si>
  <si>
    <t>от ЦТП № 2,3</t>
  </si>
  <si>
    <t>от ЦТП № 3, 6</t>
  </si>
  <si>
    <t>от ЦТП № 1 - 8, 11</t>
  </si>
  <si>
    <t>от ЦТП № 2, 4, 8, 11</t>
  </si>
  <si>
    <t>от ЦТП № 1 - 8, 10, 11</t>
  </si>
  <si>
    <t>от ЦТП № 2, 7, 8, 11</t>
  </si>
  <si>
    <t>от ЦТП № 6</t>
  </si>
  <si>
    <t>от ЦТП № 8</t>
  </si>
  <si>
    <t>от ЦТП № 1 - 7, 10,11</t>
  </si>
  <si>
    <t>от ЦТП № 1, 2, 6, 7</t>
  </si>
  <si>
    <t>от ЦТП № 1, 7</t>
  </si>
  <si>
    <t>минераловатные маты</t>
  </si>
  <si>
    <t>ТС</t>
  </si>
  <si>
    <r>
      <t>95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70</t>
    </r>
    <r>
      <rPr>
        <vertAlign val="superscript"/>
        <sz val="10"/>
        <rFont val="Arial"/>
        <family val="2"/>
        <charset val="204"/>
      </rPr>
      <t>0</t>
    </r>
    <r>
      <rPr>
        <sz val="10"/>
        <rFont val="Arial"/>
        <family val="2"/>
        <charset val="204"/>
      </rPr>
      <t>С</t>
    </r>
  </si>
  <si>
    <t>Наружный диаметр трубопроводов на участке D_н, м (циркуляционный трубопровод)</t>
  </si>
  <si>
    <t>Длина трубопровода (в однотрубном исчислении), м (циркуляционный трубопровод)</t>
  </si>
  <si>
    <t>Тепло-изоляционный материал циркуляционного трубопровода</t>
  </si>
  <si>
    <t>Тип прокладки циркуляцион-ного трубопровода</t>
  </si>
  <si>
    <t>Год ввода в эксплуатацию (перекладки) циркуляционного трубопровода</t>
  </si>
  <si>
    <t>от ЦТП № 1 - 3, 5, 6, 7</t>
  </si>
  <si>
    <t>от ЦТП № 1, 5, 11</t>
  </si>
  <si>
    <t>от ЦТП № 2, 6, 7</t>
  </si>
  <si>
    <t>от ЦТП № 1, 2, 3, 5, 6</t>
  </si>
  <si>
    <t>от ЦТП № 2,  7</t>
  </si>
  <si>
    <t>ГВС</t>
  </si>
  <si>
    <r>
      <rPr>
        <sz val="10"/>
        <rFont val="Calibri"/>
        <family val="2"/>
        <charset val="204"/>
      </rPr>
      <t>70–5</t>
    </r>
    <r>
      <rPr>
        <sz val="10"/>
        <rFont val="Arial"/>
        <family val="2"/>
        <charset val="204"/>
      </rPr>
      <t>0</t>
    </r>
    <r>
      <rPr>
        <vertAlign val="superscript"/>
        <sz val="10"/>
        <rFont val="Arial"/>
        <family val="2"/>
        <charset val="204"/>
      </rPr>
      <t>0</t>
    </r>
    <r>
      <rPr>
        <sz val="10"/>
        <rFont val="Arial"/>
        <family val="2"/>
        <charset val="204"/>
      </rPr>
      <t>С</t>
    </r>
  </si>
  <si>
    <t>135/75</t>
  </si>
  <si>
    <t>70/50</t>
  </si>
  <si>
    <t>Первый контур от Ан.ТЭЦ и ГМТЭЦ</t>
  </si>
  <si>
    <t>Второй контур от ЦТП (ТС)</t>
  </si>
  <si>
    <t>Второй контур от ЦТП (ГВС)</t>
  </si>
  <si>
    <t>Счётчик кол-ва тепла воды SKU-02-A2-200.200</t>
  </si>
  <si>
    <t>1</t>
  </si>
  <si>
    <t>8784</t>
  </si>
  <si>
    <t>Термопреобразователь ТСПУ-205 вых.сиг. 4…20мА (-50…+50)</t>
  </si>
  <si>
    <t>циркул-й тр-д ГВС</t>
  </si>
  <si>
    <t>Термопреобразователь ТСПУ-205 вых.сиг. 4…20мА (-0…+100)</t>
  </si>
  <si>
    <t>3</t>
  </si>
  <si>
    <t>обратный тр-д</t>
  </si>
  <si>
    <t>Термопреобразователь ТСПУ-205 вых.сиг. 4…20мА (-0…+200)</t>
  </si>
  <si>
    <t>4</t>
  </si>
  <si>
    <t>подающий тр-д</t>
  </si>
  <si>
    <t>Преобразователь давления "Cerebar T" PCM 131 (0..1,0 Мпа)</t>
  </si>
  <si>
    <t>5</t>
  </si>
  <si>
    <t>Преобразователь давления "Cerebar T" PCM 131 (0..0,6 Мпа)</t>
  </si>
  <si>
    <t>2</t>
  </si>
  <si>
    <t>Клапан VVF45.92 c электроприводом SKC32.60</t>
  </si>
  <si>
    <t>7464</t>
  </si>
  <si>
    <t>Клапан VVF45.65 c электроприводом SKC32.60</t>
  </si>
  <si>
    <t>Клапан VVF45.50 c электроприводом SKC32.60</t>
  </si>
  <si>
    <t>Данные по средствам автоматики и защиты (САРЗ) ЦТП № 1</t>
  </si>
  <si>
    <t>Данные по средствам автоматики и защиты (САРЗ) ЦТП № 2</t>
  </si>
  <si>
    <t>Преобразователь давления "Cerebar T" PCM 131 (0..1,6 Мпа)</t>
  </si>
  <si>
    <t>Преобразователь давления "Cerebar T" PCM 131 (0..0,4 Мпа)</t>
  </si>
  <si>
    <t>8760</t>
  </si>
  <si>
    <t>Клапан VVF45.80 c электроприводом SKC32.60</t>
  </si>
  <si>
    <t>Данные по средствам автоматики и защиты (САРЗ) ЦТП № 3</t>
  </si>
  <si>
    <t>Счётчик кол-ва тепла воды SKU-02-A2-150.150</t>
  </si>
  <si>
    <t>Клапан VVF41.65-4 c электроприводом SKC32.60</t>
  </si>
  <si>
    <t>Данные по средствам автоматики и защиты (САРЗ) ЦТП № 4</t>
  </si>
  <si>
    <t>Счётчик кол-ва тепла воды SKU-02-A2-100.100</t>
  </si>
  <si>
    <t>Клапан VVF52.15-4 c электроприводом SQS35.03</t>
  </si>
  <si>
    <t>Данные по средствам автоматики и защиты (САРЗ) ЦТП № 6</t>
  </si>
  <si>
    <t>Данные по средствам автоматики и защиты (САРЗ) ЦТП № 5,7</t>
  </si>
  <si>
    <t>Клапан VVF45.91 c электроприводом SKC32.60</t>
  </si>
  <si>
    <t>Данные по средствам автоматики и защиты (САРЗ) ЦТП № 8</t>
  </si>
  <si>
    <t>Данные по средствам автоматики и защиты (САРЗ) ЦТП № 9</t>
  </si>
  <si>
    <t>Клапан VVG45.15-4 c электроприводом SQS35.03</t>
  </si>
  <si>
    <t>Данные по средствам автоматики и защиты (САРЗ) ЦТП № 10</t>
  </si>
  <si>
    <t>Термопреобразователь ТСПУ-205 вых.сиг. 4…20мА (-0…+150)</t>
  </si>
  <si>
    <t>Преобразователь давления АИР 20-ДИ-160-Б-С3-4-20 (0..1,0 Мпа)</t>
  </si>
  <si>
    <t>8</t>
  </si>
  <si>
    <t>Преобразователь давления АИР 20-ДИ-160-Б-С3-4-20 (0..1,6 Мпа)</t>
  </si>
  <si>
    <t>Преобразователь давления АИР 20-ДИ-160-А-С3-4-20 (0..0,6 Мпа)</t>
  </si>
  <si>
    <t>Клапан VVF45.90 c электроприводом SKC32.60</t>
  </si>
  <si>
    <t>Данные по средствам автоматики и защиты (САРЗ) ЦТП № 11</t>
  </si>
  <si>
    <t>Клапан VVF21/24  c электроприводом SKC32.60</t>
  </si>
  <si>
    <t>подпиточный       тр-д</t>
  </si>
  <si>
    <t>Клапан VVF41.50 c электроприводом SKC32.60</t>
  </si>
  <si>
    <t>Наименование населенного пункта - г. Анадырь</t>
  </si>
  <si>
    <t>ЦТП № 1</t>
  </si>
  <si>
    <t>1Д315-50а</t>
  </si>
  <si>
    <t>Dolphin  LX 0110A</t>
  </si>
  <si>
    <t>Grundfos TR 80-110/4</t>
  </si>
  <si>
    <t>Grundfos CR 64-3</t>
  </si>
  <si>
    <t>Grundfos CR 45-2-2</t>
  </si>
  <si>
    <t>Grundfos CR 10-5</t>
  </si>
  <si>
    <t>Grundfos CR 5-10</t>
  </si>
  <si>
    <t>ЦТП № 2</t>
  </si>
  <si>
    <t>Wilo-NL 100/200-37-2-05</t>
  </si>
  <si>
    <t>ТР 80-110/4</t>
  </si>
  <si>
    <t>Grundfos CR 15-3</t>
  </si>
  <si>
    <t>Grundfos CR 15-4</t>
  </si>
  <si>
    <t>Grundfos CR 5-9</t>
  </si>
  <si>
    <t>ЦТП № 3</t>
  </si>
  <si>
    <t>Wilo-NL 125/315-30-5-05</t>
  </si>
  <si>
    <t>ЦТП № 4</t>
  </si>
  <si>
    <t>ЦТП № 5</t>
  </si>
  <si>
    <t>Wilo-NL 100/200-45-2-05</t>
  </si>
  <si>
    <t>CR 32 5 A-F-R-EUBE</t>
  </si>
  <si>
    <t>ЦТП № 6</t>
  </si>
  <si>
    <t>ЦТП № 7</t>
  </si>
  <si>
    <t xml:space="preserve"> Y-315S-4</t>
  </si>
  <si>
    <t>ВВН 1-1.5 УХЛ4</t>
  </si>
  <si>
    <t>TR 80-110/4</t>
  </si>
  <si>
    <t xml:space="preserve"> CR 90 4 A-F-A-E-HQDE </t>
  </si>
  <si>
    <t>ЦТП № 8</t>
  </si>
  <si>
    <t>ЦТП № 9</t>
  </si>
  <si>
    <t>ЦТП № 10</t>
  </si>
  <si>
    <t>ЦТП № 11</t>
  </si>
  <si>
    <t>4АМ225М2У3</t>
  </si>
  <si>
    <t>DAB-CP-40</t>
  </si>
  <si>
    <t>4АМ250М2У3</t>
  </si>
  <si>
    <t>TYPE Y-315S-4</t>
  </si>
  <si>
    <t>ДНМ50</t>
  </si>
  <si>
    <t>Наименование системы теплоснабжения - Вторичный контур ТС и ГВС</t>
  </si>
  <si>
    <t>33 мбар</t>
  </si>
  <si>
    <r>
      <t>70-50</t>
    </r>
    <r>
      <rPr>
        <sz val="10"/>
        <color theme="1"/>
        <rFont val="Calibri"/>
        <family val="2"/>
        <charset val="204"/>
      </rPr>
      <t>⁰</t>
    </r>
    <r>
      <rPr>
        <sz val="8.5"/>
        <color theme="1"/>
        <rFont val="Arial"/>
        <family val="2"/>
        <charset val="204"/>
      </rPr>
      <t>С</t>
    </r>
  </si>
  <si>
    <t>Auma SAO7.5 (задвижка с электроприводом</t>
  </si>
  <si>
    <t>Auma SGO7.1-22</t>
  </si>
  <si>
    <t>Auma SGO7.1-22 (задвижка с электроприводом</t>
  </si>
  <si>
    <t>0,75</t>
  </si>
  <si>
    <t>0,08</t>
  </si>
  <si>
    <t>Базовый период (2014г)</t>
  </si>
  <si>
    <t>ЦТП №1</t>
  </si>
  <si>
    <t>ЦТП №2</t>
  </si>
  <si>
    <t>ЦТП №3</t>
  </si>
  <si>
    <t>ЦТП №4</t>
  </si>
  <si>
    <t>ЦТП №5</t>
  </si>
  <si>
    <t>ЦТП №6</t>
  </si>
  <si>
    <t>ЦТП №7</t>
  </si>
  <si>
    <t>ЦТП №8</t>
  </si>
  <si>
    <t>ЦТП №9</t>
  </si>
  <si>
    <t>ЦТП №10</t>
  </si>
  <si>
    <t>ЦТП №11</t>
  </si>
  <si>
    <t>Период, предшествующий базовому (2013)</t>
  </si>
  <si>
    <t>город Анадырь</t>
  </si>
  <si>
    <t>закрытая</t>
  </si>
  <si>
    <t xml:space="preserve">ТЭЦ-2 </t>
  </si>
  <si>
    <t>ОАО ЭЭ "Чукотэнерго"</t>
  </si>
  <si>
    <t>ОП Анадырская ТЭЦ</t>
  </si>
  <si>
    <t>Газомоторная ТЭЦ</t>
  </si>
  <si>
    <t>Котельная</t>
  </si>
  <si>
    <t xml:space="preserve">Всего по населенному пункту </t>
  </si>
  <si>
    <t>г.Анадырь</t>
  </si>
  <si>
    <t>первичный контур</t>
  </si>
  <si>
    <t>горячая вода</t>
  </si>
  <si>
    <t>вторичный контур</t>
  </si>
  <si>
    <t>вторичный от ЦТП №1, закрытая</t>
  </si>
  <si>
    <t>вторичный от ЦТП №2, закрытая</t>
  </si>
  <si>
    <t>вторичный от ЦТП №3, закрытая</t>
  </si>
  <si>
    <t>вторичный от ЦТП №4, закрытая</t>
  </si>
  <si>
    <t>вторичный от ЦТП №5, закрытая</t>
  </si>
  <si>
    <t>вторичный от ЦТП №6, закрытая</t>
  </si>
  <si>
    <t>вторичный от ЦТП №7, закрытая</t>
  </si>
  <si>
    <t>вторичный от ЦТП №8, закрытая</t>
  </si>
  <si>
    <t>вторичный от ЦТП №9, закрытая</t>
  </si>
  <si>
    <t>вторичный от ЦТП №11, закрытая</t>
  </si>
  <si>
    <t>Итого:</t>
  </si>
  <si>
    <t>первичный, закрытая</t>
  </si>
  <si>
    <t>МП ГКХ</t>
  </si>
  <si>
    <t>вторичный, закрытая</t>
  </si>
  <si>
    <t>вторичный, ГВС закрытая</t>
  </si>
  <si>
    <t>итого:</t>
  </si>
  <si>
    <r>
      <t>вода,  135-75</t>
    </r>
    <r>
      <rPr>
        <sz val="10"/>
        <color theme="1"/>
        <rFont val="Calibri"/>
        <family val="2"/>
        <charset val="204"/>
      </rPr>
      <t>⁰</t>
    </r>
    <r>
      <rPr>
        <sz val="8.5"/>
        <color theme="1"/>
        <rFont val="Arial"/>
        <family val="2"/>
        <charset val="204"/>
      </rPr>
      <t>С</t>
    </r>
  </si>
  <si>
    <r>
      <t>вода,  95-70</t>
    </r>
    <r>
      <rPr>
        <sz val="10"/>
        <color theme="1"/>
        <rFont val="Calibri"/>
        <family val="2"/>
        <charset val="204"/>
      </rPr>
      <t>⁰</t>
    </r>
    <r>
      <rPr>
        <sz val="8.5"/>
        <color theme="1"/>
        <rFont val="Arial"/>
        <family val="2"/>
        <charset val="204"/>
      </rPr>
      <t>С</t>
    </r>
  </si>
  <si>
    <r>
      <t>вода,  70-50</t>
    </r>
    <r>
      <rPr>
        <sz val="10"/>
        <color theme="1"/>
        <rFont val="Calibri"/>
        <family val="2"/>
        <charset val="204"/>
      </rPr>
      <t>⁰</t>
    </r>
    <r>
      <rPr>
        <sz val="8.5"/>
        <color theme="1"/>
        <rFont val="Arial"/>
        <family val="2"/>
        <charset val="204"/>
      </rPr>
      <t>С</t>
    </r>
  </si>
  <si>
    <t>первый контур</t>
  </si>
  <si>
    <t>второй контурй</t>
  </si>
  <si>
    <t>Всего</t>
  </si>
  <si>
    <t>Второй контур</t>
  </si>
  <si>
    <t>Снижение потерь тепловой энергии при её передачи по тепловым сетям (замена тепловой изоляции на участке УТ-3 - УТ-4</t>
  </si>
  <si>
    <t>Работа с потребителями по установке приборов учета тепловой энергии на объектах</t>
  </si>
  <si>
    <t>3 квартал 2016 г.</t>
  </si>
  <si>
    <t>1-4 квартала 2016 г.</t>
  </si>
  <si>
    <t>1522,7  Гкал</t>
  </si>
  <si>
    <t>1000  Гкал</t>
  </si>
  <si>
    <t>Необходимые затраты,  тыс.руб.</t>
  </si>
  <si>
    <t>Mot3-QE200L2C-40-PTC-H</t>
  </si>
  <si>
    <t>Mot3-QE200L4D-40-PTC-H</t>
  </si>
  <si>
    <t>Mot3-QE225M2B-40-PTC-H</t>
  </si>
  <si>
    <t>нет</t>
  </si>
  <si>
    <t>есть</t>
  </si>
  <si>
    <t>WEG 3~100L-04</t>
  </si>
  <si>
    <t>MG90LC2-24FT115-H3</t>
  </si>
  <si>
    <t>MG90SB2-24FT115-H3</t>
  </si>
  <si>
    <t xml:space="preserve">MG160LB2-42FF300-H3 </t>
  </si>
  <si>
    <t>MG132SC2-38FF265-H3</t>
  </si>
  <si>
    <t>MG100LB4-28FF215-H3</t>
  </si>
  <si>
    <t>MG112MC2-28FT130-H3</t>
  </si>
  <si>
    <t>MG100LC2-28FT130-H3</t>
  </si>
  <si>
    <t>AF 100L/4R-12</t>
  </si>
  <si>
    <t>MG160МB2-42FF300-C2</t>
  </si>
  <si>
    <t>1LG6 206-2AA91Z</t>
  </si>
  <si>
    <t>АИР112М4УЗ</t>
  </si>
  <si>
    <t>MG100LB4-28FF215-D1</t>
  </si>
  <si>
    <t>СР 40-2700Т</t>
  </si>
  <si>
    <t>К100-65-200 А12-50</t>
  </si>
  <si>
    <t>АИР160М2Ж1У2</t>
  </si>
  <si>
    <t>К150-125-315С/4-5</t>
  </si>
  <si>
    <t>АИР180М4У3</t>
  </si>
  <si>
    <t>К100-65-200а12-5-2м</t>
  </si>
  <si>
    <t>АИР160М12Ж1У3</t>
  </si>
  <si>
    <t>КМ 80-65-160/2-5 2М</t>
  </si>
  <si>
    <t>5АМП2М2Ж1У2</t>
  </si>
  <si>
    <t>АИР 160 S2 Ж1 E2</t>
  </si>
  <si>
    <t>АИР 160 S2 Ж1 У2</t>
  </si>
  <si>
    <t>К100-80-160/2-5-2М</t>
  </si>
  <si>
    <t>КМ 40-32-180/2М-У3</t>
  </si>
  <si>
    <t>А112М2Ж1</t>
  </si>
  <si>
    <t>КМ 80-65</t>
  </si>
  <si>
    <t>КМ 80-65-160/2-52М</t>
  </si>
  <si>
    <t>АМ112М2Ж1</t>
  </si>
  <si>
    <t>1Д315-71а УХЛ-4</t>
  </si>
  <si>
    <t>АИР 160 S2 Ж1</t>
  </si>
  <si>
    <t>КМ 65-50</t>
  </si>
  <si>
    <t>А100М2Ж1</t>
  </si>
  <si>
    <t>КМ 50-32</t>
  </si>
  <si>
    <t>АВОВ2Ж</t>
  </si>
  <si>
    <t>КМ 80-65-160/2</t>
  </si>
  <si>
    <t>5АМ112М2</t>
  </si>
  <si>
    <t>КМ 100-80</t>
  </si>
  <si>
    <t>АИР160М2Ж1</t>
  </si>
  <si>
    <t>А80В2Ж1</t>
  </si>
  <si>
    <t>АИР160S2Ж1</t>
  </si>
  <si>
    <t>Деаэрация</t>
  </si>
  <si>
    <t>КВт</t>
  </si>
  <si>
    <t>Из них:</t>
  </si>
  <si>
    <t>ЦТП-1</t>
  </si>
  <si>
    <t>ЦТП-2</t>
  </si>
  <si>
    <t>ЦТП-3</t>
  </si>
  <si>
    <t>ЦТП-4</t>
  </si>
  <si>
    <t>ЦТП-5</t>
  </si>
  <si>
    <t>ЦТП-6</t>
  </si>
  <si>
    <t>ЦТП-7</t>
  </si>
  <si>
    <t>ЦТП-8</t>
  </si>
  <si>
    <t>ЦТП-9</t>
  </si>
  <si>
    <t>ЦТП-10</t>
  </si>
  <si>
    <t>ЦТП-11</t>
  </si>
  <si>
    <t>КМ 80-50-200/2-5-2М-УЗ</t>
  </si>
  <si>
    <t>КМ 100-65-200А/2-5-2М-УЗ</t>
  </si>
  <si>
    <t xml:space="preserve">КМ 40-32-180/2М-У3 </t>
  </si>
  <si>
    <t>Преобразователь давления "Сerabar T" предназначен для измерений абсолютного и избыточного давлений газов, пара и жидкостей.</t>
  </si>
  <si>
    <t xml:space="preserve">Клапаны VVF и VVG применяются в системах центрального отопления в качестве управляющих и предохранительных запорных </t>
  </si>
  <si>
    <t>клапанов в соответствии с  DIN 32730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</si>
</sst>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33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b/>
      <sz val="13"/>
      <color rgb="FF26282F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.5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rgb="FF26282F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3"/>
      <color theme="1"/>
      <name val="Arial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b/>
      <sz val="10"/>
      <color rgb="FF353842"/>
      <name val="Arial"/>
      <family val="2"/>
      <charset val="204"/>
    </font>
    <font>
      <sz val="10"/>
      <color rgb="FF353842"/>
      <name val="Arial"/>
      <family val="2"/>
      <charset val="204"/>
    </font>
    <font>
      <sz val="10"/>
      <color theme="1"/>
      <name val="Calibri"/>
      <family val="2"/>
      <charset val="204"/>
    </font>
    <font>
      <sz val="8.5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vertAlign val="superscript"/>
      <sz val="10"/>
      <name val="Arial"/>
      <family val="2"/>
      <charset val="204"/>
    </font>
    <font>
      <b/>
      <sz val="11"/>
      <color rgb="FF26282F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27" fillId="0" borderId="0"/>
  </cellStyleXfs>
  <cellXfs count="389">
    <xf numFmtId="0" fontId="0" fillId="0" borderId="0" xfId="0"/>
    <xf numFmtId="0" fontId="1" fillId="0" borderId="0" xfId="0" applyFont="1" applyAlignment="1">
      <alignment horizontal="justify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justify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4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/>
    <xf numFmtId="0" fontId="3" fillId="0" borderId="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166" fontId="3" fillId="0" borderId="7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/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0" xfId="0" applyFill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" fontId="3" fillId="0" borderId="7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16" fillId="3" borderId="7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3" fontId="16" fillId="0" borderId="16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wrapText="1"/>
    </xf>
    <xf numFmtId="2" fontId="16" fillId="0" borderId="7" xfId="0" applyNumberFormat="1" applyFont="1" applyBorder="1" applyAlignment="1">
      <alignment horizontal="center" wrapText="1"/>
    </xf>
    <xf numFmtId="2" fontId="16" fillId="0" borderId="14" xfId="0" applyNumberFormat="1" applyFont="1" applyBorder="1" applyAlignment="1">
      <alignment horizontal="center" wrapText="1"/>
    </xf>
    <xf numFmtId="2" fontId="16" fillId="0" borderId="16" xfId="0" applyNumberFormat="1" applyFont="1" applyFill="1" applyBorder="1" applyAlignment="1">
      <alignment horizont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" fontId="0" fillId="0" borderId="28" xfId="0" applyNumberFormat="1" applyBorder="1"/>
    <xf numFmtId="1" fontId="20" fillId="0" borderId="28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" fontId="20" fillId="0" borderId="27" xfId="0" applyNumberFormat="1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vertical="top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wrapText="1"/>
    </xf>
    <xf numFmtId="2" fontId="21" fillId="0" borderId="18" xfId="0" applyNumberFormat="1" applyFont="1" applyFill="1" applyBorder="1" applyAlignment="1">
      <alignment horizontal="center" wrapText="1"/>
    </xf>
    <xf numFmtId="0" fontId="22" fillId="0" borderId="22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16" fillId="0" borderId="19" xfId="0" applyFont="1" applyFill="1" applyBorder="1"/>
    <xf numFmtId="0" fontId="16" fillId="0" borderId="20" xfId="0" applyFont="1" applyFill="1" applyBorder="1"/>
    <xf numFmtId="0" fontId="21" fillId="0" borderId="20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65" fontId="16" fillId="0" borderId="26" xfId="0" applyNumberFormat="1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165" fontId="16" fillId="0" borderId="7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" fontId="20" fillId="4" borderId="7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8" fillId="0" borderId="18" xfId="2" applyFont="1" applyFill="1" applyBorder="1" applyAlignment="1">
      <alignment horizontal="left"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2" fontId="0" fillId="0" borderId="18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2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justify" vertical="top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2" fontId="0" fillId="0" borderId="20" xfId="0" applyNumberForma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top" wrapText="1"/>
    </xf>
    <xf numFmtId="0" fontId="0" fillId="0" borderId="18" xfId="0" applyFill="1" applyBorder="1" applyAlignment="1">
      <alignment horizontal="left" vertical="center" wrapText="1"/>
    </xf>
    <xf numFmtId="0" fontId="28" fillId="0" borderId="30" xfId="2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3" borderId="18" xfId="0" applyNumberForma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2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0" fillId="0" borderId="31" xfId="0" applyFill="1" applyBorder="1" applyAlignment="1">
      <alignment horizontal="center" vertical="center" wrapText="1"/>
    </xf>
    <xf numFmtId="0" fontId="28" fillId="0" borderId="20" xfId="2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 wrapText="1"/>
    </xf>
    <xf numFmtId="2" fontId="0" fillId="0" borderId="31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 wrapText="1"/>
    </xf>
    <xf numFmtId="2" fontId="0" fillId="0" borderId="38" xfId="0" applyNumberFormat="1" applyBorder="1" applyAlignment="1">
      <alignment horizontal="center" vertical="center" wrapText="1"/>
    </xf>
    <xf numFmtId="0" fontId="3" fillId="0" borderId="38" xfId="0" applyFont="1" applyBorder="1" applyAlignment="1">
      <alignment horizontal="justify" vertical="top" wrapText="1"/>
    </xf>
    <xf numFmtId="2" fontId="0" fillId="0" borderId="3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9" fillId="0" borderId="0" xfId="0" applyFont="1"/>
    <xf numFmtId="4" fontId="0" fillId="0" borderId="0" xfId="0" applyNumberFormat="1"/>
    <xf numFmtId="0" fontId="3" fillId="0" borderId="34" xfId="0" applyFon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top" wrapText="1"/>
    </xf>
    <xf numFmtId="0" fontId="0" fillId="0" borderId="3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 wrapText="1"/>
    </xf>
    <xf numFmtId="2" fontId="0" fillId="0" borderId="40" xfId="0" applyNumberForma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2" fontId="29" fillId="0" borderId="0" xfId="0" applyNumberFormat="1" applyFont="1"/>
    <xf numFmtId="2" fontId="30" fillId="0" borderId="0" xfId="0" applyNumberFormat="1" applyFont="1"/>
    <xf numFmtId="0" fontId="29" fillId="0" borderId="0" xfId="0" applyFont="1" applyBorder="1"/>
    <xf numFmtId="2" fontId="29" fillId="0" borderId="0" xfId="0" applyNumberFormat="1" applyFont="1" applyBorder="1"/>
    <xf numFmtId="0" fontId="30" fillId="0" borderId="0" xfId="0" applyFont="1" applyBorder="1"/>
    <xf numFmtId="2" fontId="30" fillId="0" borderId="0" xfId="0" applyNumberFormat="1" applyFont="1" applyBorder="1"/>
    <xf numFmtId="2" fontId="31" fillId="0" borderId="31" xfId="0" applyNumberFormat="1" applyFont="1" applyBorder="1" applyAlignment="1">
      <alignment horizontal="center" vertical="top" wrapText="1"/>
    </xf>
    <xf numFmtId="0" fontId="32" fillId="0" borderId="3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6" fillId="0" borderId="18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right" vertical="center" wrapText="1" inden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</cellXfs>
  <cellStyles count="3">
    <cellStyle name="Обычный" xfId="0" builtinId="0"/>
    <cellStyle name="Обычный_калькуляция шкаф ШТМ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7"/>
  <sheetViews>
    <sheetView workbookViewId="0">
      <selection activeCell="B2" sqref="B2"/>
    </sheetView>
  </sheetViews>
  <sheetFormatPr defaultRowHeight="15"/>
  <sheetData>
    <row r="2" spans="2:2" ht="16.5">
      <c r="B2" s="73" t="s">
        <v>347</v>
      </c>
    </row>
    <row r="3" spans="2:2" ht="16.5">
      <c r="B3" s="73" t="s">
        <v>348</v>
      </c>
    </row>
    <row r="4" spans="2:2">
      <c r="B4" s="74" t="s">
        <v>349</v>
      </c>
    </row>
    <row r="5" spans="2:2">
      <c r="B5" s="75" t="s">
        <v>350</v>
      </c>
    </row>
    <row r="7" spans="2:2">
      <c r="B7" s="76" t="s">
        <v>351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1"/>
  <sheetViews>
    <sheetView zoomScale="85" zoomScaleNormal="85" workbookViewId="0">
      <selection activeCell="C13" sqref="C13"/>
    </sheetView>
  </sheetViews>
  <sheetFormatPr defaultRowHeight="15"/>
  <cols>
    <col min="2" max="2" width="14.140625" customWidth="1"/>
    <col min="4" max="4" width="10.42578125" customWidth="1"/>
    <col min="6" max="6" width="12" customWidth="1"/>
    <col min="9" max="9" width="11.7109375" customWidth="1"/>
  </cols>
  <sheetData>
    <row r="2" spans="1:11" ht="16.5">
      <c r="K2" s="13" t="s">
        <v>96</v>
      </c>
    </row>
    <row r="3" spans="1:11" ht="16.5">
      <c r="A3" s="41"/>
      <c r="B3" s="7" t="s">
        <v>97</v>
      </c>
    </row>
    <row r="4" spans="1:11" ht="17.25" thickBot="1">
      <c r="B4" s="1"/>
    </row>
    <row r="5" spans="1:11" ht="26.25" thickBot="1">
      <c r="B5" s="327" t="s">
        <v>58</v>
      </c>
      <c r="C5" s="10" t="s">
        <v>98</v>
      </c>
      <c r="D5" s="301" t="s">
        <v>99</v>
      </c>
      <c r="E5" s="302"/>
      <c r="F5" s="303"/>
      <c r="G5" s="301" t="s">
        <v>100</v>
      </c>
      <c r="H5" s="302"/>
      <c r="I5" s="303"/>
      <c r="J5" s="301" t="s">
        <v>101</v>
      </c>
      <c r="K5" s="303"/>
    </row>
    <row r="6" spans="1:11" ht="25.5">
      <c r="B6" s="338"/>
      <c r="C6" s="327" t="s">
        <v>102</v>
      </c>
      <c r="D6" s="31" t="s">
        <v>103</v>
      </c>
      <c r="E6" s="327" t="s">
        <v>105</v>
      </c>
      <c r="F6" s="327" t="s">
        <v>106</v>
      </c>
      <c r="G6" s="327" t="s">
        <v>107</v>
      </c>
      <c r="H6" s="327" t="s">
        <v>108</v>
      </c>
      <c r="I6" s="327" t="s">
        <v>109</v>
      </c>
      <c r="J6" s="327" t="s">
        <v>110</v>
      </c>
      <c r="K6" s="327" t="s">
        <v>111</v>
      </c>
    </row>
    <row r="7" spans="1:11" ht="15.75" thickBot="1">
      <c r="B7" s="328"/>
      <c r="C7" s="328"/>
      <c r="D7" s="2" t="s">
        <v>104</v>
      </c>
      <c r="E7" s="328"/>
      <c r="F7" s="328"/>
      <c r="G7" s="328"/>
      <c r="H7" s="328"/>
      <c r="I7" s="328"/>
      <c r="J7" s="328"/>
      <c r="K7" s="328"/>
    </row>
    <row r="8" spans="1:11" ht="15.75" thickBot="1">
      <c r="B8" s="29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</row>
    <row r="9" spans="1:11" ht="15.75" thickBot="1">
      <c r="B9" s="32"/>
      <c r="C9" s="5"/>
      <c r="D9" s="5"/>
      <c r="E9" s="5"/>
      <c r="F9" s="5"/>
      <c r="G9" s="5"/>
      <c r="H9" s="5"/>
      <c r="I9" s="5"/>
      <c r="J9" s="5"/>
      <c r="K9" s="5"/>
    </row>
    <row r="10" spans="1:11" ht="15.75" thickBot="1">
      <c r="B10" s="32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B11" s="1"/>
    </row>
    <row r="21" spans="2:2" ht="16.5">
      <c r="B21" s="1"/>
    </row>
  </sheetData>
  <mergeCells count="12">
    <mergeCell ref="J6:J7"/>
    <mergeCell ref="K6:K7"/>
    <mergeCell ref="B5:B7"/>
    <mergeCell ref="D5:F5"/>
    <mergeCell ref="G5:I5"/>
    <mergeCell ref="J5:K5"/>
    <mergeCell ref="C6:C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0"/>
  <sheetViews>
    <sheetView zoomScale="85" zoomScaleNormal="85" workbookViewId="0">
      <selection activeCell="D12" sqref="D12"/>
    </sheetView>
  </sheetViews>
  <sheetFormatPr defaultRowHeight="15"/>
  <cols>
    <col min="3" max="3" width="13.28515625" customWidth="1"/>
    <col min="4" max="4" width="14" customWidth="1"/>
    <col min="5" max="5" width="13.7109375" customWidth="1"/>
    <col min="6" max="6" width="15.140625" customWidth="1"/>
    <col min="7" max="7" width="13.7109375" customWidth="1"/>
    <col min="8" max="8" width="14.42578125" customWidth="1"/>
    <col min="9" max="9" width="13" customWidth="1"/>
    <col min="10" max="10" width="13.42578125" customWidth="1"/>
    <col min="11" max="11" width="15.7109375" customWidth="1"/>
  </cols>
  <sheetData>
    <row r="2" spans="2:11" ht="16.5">
      <c r="K2" s="13" t="s">
        <v>112</v>
      </c>
    </row>
    <row r="3" spans="2:11" ht="16.5">
      <c r="B3" s="1"/>
    </row>
    <row r="4" spans="2:11" ht="16.5">
      <c r="E4" s="7" t="s">
        <v>113</v>
      </c>
    </row>
    <row r="5" spans="2:11" ht="17.25" thickBot="1">
      <c r="B5" s="1"/>
    </row>
    <row r="6" spans="2:11" ht="15.75" thickBot="1">
      <c r="B6" s="327" t="s">
        <v>114</v>
      </c>
      <c r="C6" s="301" t="s">
        <v>115</v>
      </c>
      <c r="D6" s="302"/>
      <c r="E6" s="303"/>
      <c r="F6" s="301" t="s">
        <v>100</v>
      </c>
      <c r="G6" s="302"/>
      <c r="H6" s="303"/>
      <c r="I6" s="301" t="s">
        <v>101</v>
      </c>
      <c r="J6" s="302"/>
      <c r="K6" s="303"/>
    </row>
    <row r="7" spans="2:11" ht="25.5">
      <c r="B7" s="338"/>
      <c r="C7" s="31" t="s">
        <v>116</v>
      </c>
      <c r="D7" s="327" t="s">
        <v>118</v>
      </c>
      <c r="E7" s="327" t="s">
        <v>119</v>
      </c>
      <c r="F7" s="31" t="s">
        <v>116</v>
      </c>
      <c r="G7" s="31" t="s">
        <v>121</v>
      </c>
      <c r="H7" s="31" t="s">
        <v>123</v>
      </c>
      <c r="I7" s="327" t="s">
        <v>125</v>
      </c>
      <c r="J7" s="327" t="s">
        <v>126</v>
      </c>
      <c r="K7" s="31" t="s">
        <v>127</v>
      </c>
    </row>
    <row r="8" spans="2:11" ht="15.75" thickBot="1">
      <c r="B8" s="328"/>
      <c r="C8" s="2" t="s">
        <v>117</v>
      </c>
      <c r="D8" s="328"/>
      <c r="E8" s="328"/>
      <c r="F8" s="2" t="s">
        <v>120</v>
      </c>
      <c r="G8" s="2" t="s">
        <v>122</v>
      </c>
      <c r="H8" s="2" t="s">
        <v>124</v>
      </c>
      <c r="I8" s="328"/>
      <c r="J8" s="328"/>
      <c r="K8" s="2" t="s">
        <v>128</v>
      </c>
    </row>
    <row r="9" spans="2:11" ht="15.75" thickBot="1">
      <c r="B9" s="29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</row>
    <row r="10" spans="2:11" ht="15.75" thickBot="1">
      <c r="B10" s="29">
        <v>1</v>
      </c>
      <c r="C10" s="5"/>
      <c r="D10" s="5"/>
      <c r="E10" s="5"/>
      <c r="F10" s="5"/>
      <c r="G10" s="5"/>
      <c r="H10" s="5"/>
      <c r="I10" s="5"/>
      <c r="J10" s="5"/>
      <c r="K10" s="5"/>
    </row>
  </sheetData>
  <mergeCells count="8">
    <mergeCell ref="B6:B8"/>
    <mergeCell ref="C6:E6"/>
    <mergeCell ref="F6:H6"/>
    <mergeCell ref="I6:K6"/>
    <mergeCell ref="D7:D8"/>
    <mergeCell ref="E7:E8"/>
    <mergeCell ref="I7:I8"/>
    <mergeCell ref="J7:J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10"/>
  <sheetViews>
    <sheetView zoomScale="85" zoomScaleNormal="85" workbookViewId="0">
      <selection activeCell="F9" sqref="F9"/>
    </sheetView>
  </sheetViews>
  <sheetFormatPr defaultRowHeight="15"/>
  <cols>
    <col min="2" max="2" width="17.85546875" customWidth="1"/>
  </cols>
  <sheetData>
    <row r="2" spans="2:6" ht="16.5">
      <c r="F2" s="13" t="s">
        <v>129</v>
      </c>
    </row>
    <row r="3" spans="2:6" ht="53.25" customHeight="1">
      <c r="B3" s="339" t="s">
        <v>352</v>
      </c>
      <c r="C3" s="339"/>
      <c r="D3" s="339"/>
      <c r="E3" s="339"/>
      <c r="F3" s="339"/>
    </row>
    <row r="4" spans="2:6" ht="17.25" thickBot="1">
      <c r="B4" s="1"/>
    </row>
    <row r="5" spans="2:6" ht="15.75" thickBot="1">
      <c r="B5" s="327" t="s">
        <v>130</v>
      </c>
      <c r="C5" s="301" t="s">
        <v>131</v>
      </c>
      <c r="D5" s="302"/>
      <c r="E5" s="302"/>
      <c r="F5" s="303"/>
    </row>
    <row r="6" spans="2:6" ht="15.75" thickBot="1">
      <c r="B6" s="328"/>
      <c r="C6" s="2" t="s">
        <v>132</v>
      </c>
      <c r="D6" s="113" t="s">
        <v>448</v>
      </c>
      <c r="E6" s="10" t="s">
        <v>67</v>
      </c>
      <c r="F6" s="113" t="s">
        <v>449</v>
      </c>
    </row>
    <row r="7" spans="2:6" ht="15.75" thickBot="1">
      <c r="B7" s="32" t="s">
        <v>133</v>
      </c>
      <c r="C7" s="2"/>
      <c r="D7" s="2">
        <v>1390.1</v>
      </c>
      <c r="E7" s="2">
        <v>785.6</v>
      </c>
      <c r="F7" s="2">
        <v>117.6</v>
      </c>
    </row>
    <row r="8" spans="2:6" ht="15.75" thickBot="1">
      <c r="B8" s="32" t="s">
        <v>134</v>
      </c>
      <c r="C8" s="2"/>
      <c r="D8" s="2">
        <v>1390.1</v>
      </c>
      <c r="E8" s="121" t="s">
        <v>16</v>
      </c>
      <c r="F8" s="2">
        <v>117.6</v>
      </c>
    </row>
    <row r="10" spans="2:6" ht="16.5">
      <c r="B10" s="42" t="s">
        <v>135</v>
      </c>
    </row>
  </sheetData>
  <mergeCells count="3">
    <mergeCell ref="B5:B6"/>
    <mergeCell ref="C5:F5"/>
    <mergeCell ref="B3:F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72"/>
  <sheetViews>
    <sheetView zoomScale="85" zoomScaleNormal="85" workbookViewId="0">
      <selection activeCell="J33" sqref="J33:N44"/>
    </sheetView>
  </sheetViews>
  <sheetFormatPr defaultRowHeight="15"/>
  <cols>
    <col min="2" max="2" width="18.42578125" customWidth="1"/>
    <col min="5" max="5" width="14.85546875" customWidth="1"/>
    <col min="6" max="6" width="13" customWidth="1"/>
    <col min="7" max="7" width="12.5703125" customWidth="1"/>
    <col min="8" max="8" width="10.7109375" customWidth="1"/>
    <col min="9" max="9" width="12.7109375" customWidth="1"/>
  </cols>
  <sheetData>
    <row r="2" spans="2:15" ht="16.5">
      <c r="I2" s="13" t="s">
        <v>136</v>
      </c>
    </row>
    <row r="3" spans="2:15">
      <c r="B3" s="339" t="s">
        <v>137</v>
      </c>
      <c r="C3" s="339"/>
      <c r="D3" s="339"/>
      <c r="E3" s="339"/>
      <c r="F3" s="339"/>
      <c r="G3" s="339"/>
      <c r="H3" s="339"/>
      <c r="I3" s="339"/>
    </row>
    <row r="4" spans="2:15" ht="26.25" customHeight="1">
      <c r="B4" s="339"/>
      <c r="C4" s="339"/>
      <c r="D4" s="339"/>
      <c r="E4" s="339"/>
      <c r="F4" s="339"/>
      <c r="G4" s="339"/>
      <c r="H4" s="339"/>
      <c r="I4" s="339"/>
    </row>
    <row r="5" spans="2:15" ht="17.25" customHeight="1">
      <c r="B5" s="340" t="s">
        <v>450</v>
      </c>
      <c r="C5" s="340"/>
      <c r="D5" s="340"/>
      <c r="E5" s="122"/>
      <c r="F5" s="122"/>
      <c r="G5" s="122"/>
      <c r="H5" s="122"/>
      <c r="I5" s="122"/>
    </row>
    <row r="6" spans="2:15" ht="17.25" thickBot="1">
      <c r="B6" s="1"/>
    </row>
    <row r="7" spans="2:15" ht="31.5" customHeight="1" thickBot="1">
      <c r="B7" s="327" t="s">
        <v>138</v>
      </c>
      <c r="C7" s="301" t="s">
        <v>139</v>
      </c>
      <c r="D7" s="303"/>
      <c r="E7" s="301" t="s">
        <v>99</v>
      </c>
      <c r="F7" s="302"/>
      <c r="G7" s="302"/>
      <c r="H7" s="302"/>
      <c r="I7" s="303"/>
    </row>
    <row r="8" spans="2:15" ht="26.25" customHeight="1" thickBot="1">
      <c r="B8" s="338"/>
      <c r="C8" s="9" t="s">
        <v>140</v>
      </c>
      <c r="D8" s="9" t="s">
        <v>141</v>
      </c>
      <c r="E8" s="45" t="s">
        <v>160</v>
      </c>
      <c r="F8" s="45" t="s">
        <v>142</v>
      </c>
      <c r="G8" s="45" t="s">
        <v>143</v>
      </c>
      <c r="H8" s="45" t="s">
        <v>144</v>
      </c>
      <c r="I8" s="27" t="s">
        <v>145</v>
      </c>
    </row>
    <row r="9" spans="2:15" ht="17.25" thickBot="1">
      <c r="B9" s="36" t="s">
        <v>146</v>
      </c>
      <c r="C9" s="143">
        <v>744</v>
      </c>
      <c r="D9" s="143"/>
      <c r="E9" s="146" t="s">
        <v>16</v>
      </c>
      <c r="F9" s="146">
        <v>-19.7</v>
      </c>
      <c r="G9" s="146">
        <v>101.4</v>
      </c>
      <c r="H9" s="146">
        <v>59.7</v>
      </c>
      <c r="I9" s="146">
        <v>5</v>
      </c>
      <c r="J9" s="43"/>
    </row>
    <row r="10" spans="2:15" ht="17.25" thickBot="1">
      <c r="B10" s="32" t="s">
        <v>147</v>
      </c>
      <c r="C10" s="143">
        <v>696</v>
      </c>
      <c r="D10" s="143"/>
      <c r="E10" s="146" t="s">
        <v>16</v>
      </c>
      <c r="F10" s="146">
        <v>-22.3</v>
      </c>
      <c r="G10" s="146">
        <v>105.6</v>
      </c>
      <c r="H10" s="146">
        <v>61.3</v>
      </c>
      <c r="I10" s="146">
        <v>5</v>
      </c>
      <c r="J10" s="43"/>
    </row>
    <row r="11" spans="2:15" ht="17.25" thickBot="1">
      <c r="B11" s="32" t="s">
        <v>148</v>
      </c>
      <c r="C11" s="143">
        <v>744</v>
      </c>
      <c r="D11" s="143"/>
      <c r="E11" s="146" t="s">
        <v>16</v>
      </c>
      <c r="F11" s="146">
        <v>-20.6</v>
      </c>
      <c r="G11" s="146">
        <v>102.6</v>
      </c>
      <c r="H11" s="146">
        <v>60</v>
      </c>
      <c r="I11" s="146">
        <v>5</v>
      </c>
      <c r="J11" s="43"/>
    </row>
    <row r="12" spans="2:15" ht="17.25" thickBot="1">
      <c r="B12" s="32" t="s">
        <v>149</v>
      </c>
      <c r="C12" s="143">
        <v>720</v>
      </c>
      <c r="D12" s="143"/>
      <c r="E12" s="146" t="s">
        <v>16</v>
      </c>
      <c r="F12" s="146">
        <v>-12.9</v>
      </c>
      <c r="G12" s="146">
        <v>88.2</v>
      </c>
      <c r="H12" s="146">
        <v>53.6</v>
      </c>
      <c r="I12" s="146">
        <v>5</v>
      </c>
      <c r="J12" s="43"/>
    </row>
    <row r="13" spans="2:15" ht="17.25" thickBot="1">
      <c r="B13" s="32" t="s">
        <v>150</v>
      </c>
      <c r="C13" s="143">
        <v>744</v>
      </c>
      <c r="D13" s="143"/>
      <c r="E13" s="146" t="s">
        <v>16</v>
      </c>
      <c r="F13" s="146">
        <v>-3</v>
      </c>
      <c r="G13" s="146">
        <v>80</v>
      </c>
      <c r="H13" s="146">
        <v>51</v>
      </c>
      <c r="I13" s="146">
        <v>5</v>
      </c>
      <c r="J13" s="43"/>
    </row>
    <row r="14" spans="2:15" ht="17.25" thickBot="1">
      <c r="B14" s="32" t="s">
        <v>151</v>
      </c>
      <c r="C14" s="143">
        <v>720</v>
      </c>
      <c r="D14" s="143"/>
      <c r="E14" s="146" t="s">
        <v>16</v>
      </c>
      <c r="F14" s="146">
        <v>5.4</v>
      </c>
      <c r="G14" s="146">
        <v>80</v>
      </c>
      <c r="H14" s="146">
        <v>51</v>
      </c>
      <c r="I14" s="146">
        <v>5</v>
      </c>
      <c r="J14" s="43"/>
    </row>
    <row r="15" spans="2:15" ht="17.25" thickBot="1">
      <c r="B15" s="32" t="s">
        <v>152</v>
      </c>
      <c r="C15" s="143"/>
      <c r="D15" s="143">
        <v>744</v>
      </c>
      <c r="E15" s="146" t="s">
        <v>16</v>
      </c>
      <c r="F15" s="146">
        <v>10.6</v>
      </c>
      <c r="G15" s="146">
        <v>80</v>
      </c>
      <c r="H15" s="146">
        <v>51</v>
      </c>
      <c r="I15" s="146">
        <v>15</v>
      </c>
      <c r="J15" s="43"/>
      <c r="M15" s="341"/>
      <c r="N15" s="341"/>
      <c r="O15" s="341"/>
    </row>
    <row r="16" spans="2:15" ht="17.25" thickBot="1">
      <c r="B16" s="32" t="s">
        <v>153</v>
      </c>
      <c r="C16" s="143"/>
      <c r="D16" s="143">
        <v>744</v>
      </c>
      <c r="E16" s="146" t="s">
        <v>16</v>
      </c>
      <c r="F16" s="146">
        <v>9.5</v>
      </c>
      <c r="G16" s="146">
        <v>80</v>
      </c>
      <c r="H16" s="146">
        <v>51</v>
      </c>
      <c r="I16" s="146">
        <v>15</v>
      </c>
      <c r="J16" s="43"/>
    </row>
    <row r="17" spans="2:10" ht="17.25" thickBot="1">
      <c r="B17" s="32" t="s">
        <v>154</v>
      </c>
      <c r="C17" s="143">
        <v>720</v>
      </c>
      <c r="D17" s="143"/>
      <c r="E17" s="146" t="s">
        <v>16</v>
      </c>
      <c r="F17" s="146">
        <v>3.9</v>
      </c>
      <c r="G17" s="146">
        <v>80</v>
      </c>
      <c r="H17" s="146">
        <v>51</v>
      </c>
      <c r="I17" s="146">
        <v>5</v>
      </c>
      <c r="J17" s="43"/>
    </row>
    <row r="18" spans="2:10" ht="17.25" thickBot="1">
      <c r="B18" s="32" t="s">
        <v>155</v>
      </c>
      <c r="C18" s="143">
        <v>744</v>
      </c>
      <c r="D18" s="143"/>
      <c r="E18" s="146" t="s">
        <v>16</v>
      </c>
      <c r="F18" s="146">
        <v>-5.9</v>
      </c>
      <c r="G18" s="146">
        <v>80</v>
      </c>
      <c r="H18" s="146">
        <v>51</v>
      </c>
      <c r="I18" s="146">
        <v>5</v>
      </c>
      <c r="J18" s="43"/>
    </row>
    <row r="19" spans="2:10" ht="17.25" thickBot="1">
      <c r="B19" s="32" t="s">
        <v>156</v>
      </c>
      <c r="C19" s="143">
        <v>720</v>
      </c>
      <c r="D19" s="143"/>
      <c r="E19" s="146" t="s">
        <v>16</v>
      </c>
      <c r="F19" s="146">
        <v>-14.6</v>
      </c>
      <c r="G19" s="146">
        <v>91.6</v>
      </c>
      <c r="H19" s="146">
        <v>55.6</v>
      </c>
      <c r="I19" s="146">
        <v>5</v>
      </c>
      <c r="J19" s="43"/>
    </row>
    <row r="20" spans="2:10" ht="17.25" thickBot="1">
      <c r="B20" s="32" t="s">
        <v>157</v>
      </c>
      <c r="C20" s="144">
        <v>744</v>
      </c>
      <c r="D20" s="144"/>
      <c r="E20" s="146" t="s">
        <v>16</v>
      </c>
      <c r="F20" s="147">
        <v>-21</v>
      </c>
      <c r="G20" s="147">
        <v>103</v>
      </c>
      <c r="H20" s="147">
        <v>60</v>
      </c>
      <c r="I20" s="146">
        <v>5</v>
      </c>
      <c r="J20" s="43"/>
    </row>
    <row r="21" spans="2:10" ht="26.25" thickBot="1">
      <c r="B21" s="29" t="s">
        <v>158</v>
      </c>
      <c r="C21" s="145"/>
      <c r="D21" s="145"/>
      <c r="E21" s="146" t="s">
        <v>16</v>
      </c>
      <c r="F21" s="148">
        <v>-10.5</v>
      </c>
      <c r="G21" s="149">
        <v>89.281643835616435</v>
      </c>
      <c r="H21" s="149">
        <v>54.649589041095894</v>
      </c>
      <c r="I21" s="146">
        <v>5</v>
      </c>
      <c r="J21" s="43"/>
    </row>
    <row r="22" spans="2:10" ht="17.25" thickBot="1">
      <c r="B22" s="327" t="s">
        <v>158</v>
      </c>
      <c r="C22" s="301" t="s">
        <v>140</v>
      </c>
      <c r="D22" s="303"/>
      <c r="E22" s="146" t="s">
        <v>16</v>
      </c>
      <c r="F22" s="146">
        <v>-11.07</v>
      </c>
      <c r="G22" s="150">
        <v>91.24</v>
      </c>
      <c r="H22" s="150">
        <v>55.42</v>
      </c>
      <c r="I22" s="146">
        <v>5</v>
      </c>
      <c r="J22" s="43"/>
    </row>
    <row r="23" spans="2:10" ht="15.75" customHeight="1" thickBot="1">
      <c r="B23" s="328"/>
      <c r="C23" s="301" t="s">
        <v>159</v>
      </c>
      <c r="D23" s="303"/>
      <c r="E23" s="146" t="s">
        <v>16</v>
      </c>
      <c r="F23" s="146">
        <v>10.050000000000001</v>
      </c>
      <c r="G23" s="150">
        <v>80</v>
      </c>
      <c r="H23" s="150">
        <v>51</v>
      </c>
      <c r="I23" s="146">
        <v>5</v>
      </c>
      <c r="J23" s="43"/>
    </row>
    <row r="24" spans="2:10" ht="16.5">
      <c r="J24" s="43"/>
    </row>
    <row r="25" spans="2:10" ht="16.5">
      <c r="J25" s="43"/>
    </row>
    <row r="26" spans="2:10" ht="16.5">
      <c r="I26" s="13" t="s">
        <v>136</v>
      </c>
      <c r="J26" s="43"/>
    </row>
    <row r="27" spans="2:10" ht="16.5">
      <c r="B27" s="339" t="s">
        <v>137</v>
      </c>
      <c r="C27" s="339"/>
      <c r="D27" s="339"/>
      <c r="E27" s="339"/>
      <c r="F27" s="339"/>
      <c r="G27" s="339"/>
      <c r="H27" s="339"/>
      <c r="I27" s="339"/>
      <c r="J27" s="43"/>
    </row>
    <row r="28" spans="2:10" ht="16.5">
      <c r="B28" s="339"/>
      <c r="C28" s="339"/>
      <c r="D28" s="339"/>
      <c r="E28" s="339"/>
      <c r="F28" s="339"/>
      <c r="G28" s="339"/>
      <c r="H28" s="339"/>
      <c r="I28" s="339"/>
      <c r="J28" s="43"/>
    </row>
    <row r="29" spans="2:10" ht="16.5" customHeight="1">
      <c r="B29" s="341" t="s">
        <v>451</v>
      </c>
      <c r="C29" s="341"/>
      <c r="D29" s="341"/>
      <c r="E29" s="122"/>
      <c r="F29" s="122"/>
      <c r="G29" s="122"/>
      <c r="H29" s="122"/>
      <c r="I29" s="122"/>
    </row>
    <row r="30" spans="2:10" ht="17.25" thickBot="1">
      <c r="B30" s="1"/>
    </row>
    <row r="31" spans="2:10" ht="15.75" thickBot="1">
      <c r="B31" s="327" t="s">
        <v>138</v>
      </c>
      <c r="C31" s="301" t="s">
        <v>139</v>
      </c>
      <c r="D31" s="303"/>
      <c r="E31" s="301" t="s">
        <v>99</v>
      </c>
      <c r="F31" s="302"/>
      <c r="G31" s="302"/>
      <c r="H31" s="302"/>
      <c r="I31" s="303"/>
    </row>
    <row r="32" spans="2:10" ht="26.25" thickBot="1">
      <c r="B32" s="338"/>
      <c r="C32" s="9" t="s">
        <v>140</v>
      </c>
      <c r="D32" s="9" t="s">
        <v>141</v>
      </c>
      <c r="E32" s="112" t="s">
        <v>160</v>
      </c>
      <c r="F32" s="112" t="s">
        <v>142</v>
      </c>
      <c r="G32" s="112" t="s">
        <v>143</v>
      </c>
      <c r="H32" s="112" t="s">
        <v>144</v>
      </c>
      <c r="I32" s="9" t="s">
        <v>145</v>
      </c>
    </row>
    <row r="33" spans="2:10" ht="15.75" thickBot="1">
      <c r="B33" s="36" t="s">
        <v>146</v>
      </c>
      <c r="C33" s="143">
        <v>744</v>
      </c>
      <c r="D33" s="143"/>
      <c r="E33" s="146" t="s">
        <v>16</v>
      </c>
      <c r="F33" s="146">
        <v>-19.7</v>
      </c>
      <c r="G33" s="150">
        <v>76.7</v>
      </c>
      <c r="H33" s="150">
        <v>56</v>
      </c>
      <c r="I33" s="146">
        <v>5</v>
      </c>
      <c r="J33" s="201"/>
    </row>
    <row r="34" spans="2:10" ht="15.75" thickBot="1">
      <c r="B34" s="123" t="s">
        <v>147</v>
      </c>
      <c r="C34" s="143">
        <v>696</v>
      </c>
      <c r="D34" s="143"/>
      <c r="E34" s="146" t="s">
        <v>16</v>
      </c>
      <c r="F34" s="146">
        <v>-22.3</v>
      </c>
      <c r="G34" s="150">
        <v>80.3</v>
      </c>
      <c r="H34" s="150">
        <v>58</v>
      </c>
      <c r="I34" s="146">
        <v>5</v>
      </c>
      <c r="J34" s="201"/>
    </row>
    <row r="35" spans="2:10" ht="15.75" thickBot="1">
      <c r="B35" s="123" t="s">
        <v>148</v>
      </c>
      <c r="C35" s="143">
        <v>744</v>
      </c>
      <c r="D35" s="143"/>
      <c r="E35" s="146" t="s">
        <v>16</v>
      </c>
      <c r="F35" s="146">
        <v>-20.6</v>
      </c>
      <c r="G35" s="150">
        <v>77.599999999999994</v>
      </c>
      <c r="H35" s="150">
        <v>56.6</v>
      </c>
      <c r="I35" s="146">
        <v>5</v>
      </c>
      <c r="J35" s="201"/>
    </row>
    <row r="36" spans="2:10" ht="15.75" thickBot="1">
      <c r="B36" s="123" t="s">
        <v>149</v>
      </c>
      <c r="C36" s="143">
        <v>720</v>
      </c>
      <c r="D36" s="143"/>
      <c r="E36" s="146" t="s">
        <v>16</v>
      </c>
      <c r="F36" s="146">
        <v>-12.9</v>
      </c>
      <c r="G36" s="150">
        <v>68.8</v>
      </c>
      <c r="H36" s="150">
        <v>51</v>
      </c>
      <c r="I36" s="146">
        <v>5</v>
      </c>
      <c r="J36" s="201"/>
    </row>
    <row r="37" spans="2:10" ht="15.75" thickBot="1">
      <c r="B37" s="123" t="s">
        <v>150</v>
      </c>
      <c r="C37" s="143">
        <v>744</v>
      </c>
      <c r="D37" s="143"/>
      <c r="E37" s="146" t="s">
        <v>16</v>
      </c>
      <c r="F37" s="146">
        <v>-3</v>
      </c>
      <c r="G37" s="150">
        <v>56</v>
      </c>
      <c r="H37" s="150">
        <v>44</v>
      </c>
      <c r="I37" s="146">
        <v>5</v>
      </c>
      <c r="J37" s="201"/>
    </row>
    <row r="38" spans="2:10" ht="15.75" thickBot="1">
      <c r="B38" s="123" t="s">
        <v>151</v>
      </c>
      <c r="C38" s="143">
        <v>720</v>
      </c>
      <c r="D38" s="143"/>
      <c r="E38" s="146" t="s">
        <v>16</v>
      </c>
      <c r="F38" s="146">
        <v>5.4</v>
      </c>
      <c r="G38" s="150">
        <v>44.6</v>
      </c>
      <c r="H38" s="150">
        <v>36.6</v>
      </c>
      <c r="I38" s="146">
        <v>5</v>
      </c>
      <c r="J38" s="201"/>
    </row>
    <row r="39" spans="2:10" ht="15.75" thickBot="1">
      <c r="B39" s="123" t="s">
        <v>152</v>
      </c>
      <c r="C39" s="143">
        <v>0</v>
      </c>
      <c r="D39" s="143"/>
      <c r="E39" s="146" t="s">
        <v>16</v>
      </c>
      <c r="F39" s="146">
        <v>10.6</v>
      </c>
      <c r="G39" s="150">
        <v>38</v>
      </c>
      <c r="H39" s="150">
        <v>33</v>
      </c>
      <c r="I39" s="146">
        <v>15</v>
      </c>
      <c r="J39" s="201"/>
    </row>
    <row r="40" spans="2:10" ht="15.75" thickBot="1">
      <c r="B40" s="123" t="s">
        <v>153</v>
      </c>
      <c r="C40" s="143">
        <v>192</v>
      </c>
      <c r="D40" s="143"/>
      <c r="E40" s="146" t="s">
        <v>16</v>
      </c>
      <c r="F40" s="146">
        <v>9.5</v>
      </c>
      <c r="G40" s="150">
        <v>39</v>
      </c>
      <c r="H40" s="150">
        <v>33.5</v>
      </c>
      <c r="I40" s="146">
        <v>15</v>
      </c>
      <c r="J40" s="201"/>
    </row>
    <row r="41" spans="2:10" ht="15.75" thickBot="1">
      <c r="B41" s="123" t="s">
        <v>154</v>
      </c>
      <c r="C41" s="143">
        <v>720</v>
      </c>
      <c r="D41" s="143"/>
      <c r="E41" s="146" t="s">
        <v>16</v>
      </c>
      <c r="F41" s="146">
        <v>3.9</v>
      </c>
      <c r="G41" s="150">
        <v>47.9</v>
      </c>
      <c r="H41" s="150">
        <v>38.1</v>
      </c>
      <c r="I41" s="146">
        <v>5</v>
      </c>
      <c r="J41" s="201"/>
    </row>
    <row r="42" spans="2:10" ht="15.75" thickBot="1">
      <c r="B42" s="123" t="s">
        <v>155</v>
      </c>
      <c r="C42" s="143">
        <v>744</v>
      </c>
      <c r="D42" s="143"/>
      <c r="E42" s="146" t="s">
        <v>16</v>
      </c>
      <c r="F42" s="146">
        <v>-5.9</v>
      </c>
      <c r="G42" s="150">
        <v>59.9</v>
      </c>
      <c r="H42" s="150">
        <v>45.9</v>
      </c>
      <c r="I42" s="146">
        <v>5</v>
      </c>
      <c r="J42" s="201"/>
    </row>
    <row r="43" spans="2:10" ht="15.75" thickBot="1">
      <c r="B43" s="123" t="s">
        <v>156</v>
      </c>
      <c r="C43" s="143">
        <v>720</v>
      </c>
      <c r="D43" s="143"/>
      <c r="E43" s="146" t="s">
        <v>16</v>
      </c>
      <c r="F43" s="146">
        <v>-14.6</v>
      </c>
      <c r="G43" s="150">
        <v>70.599999999999994</v>
      </c>
      <c r="H43" s="150">
        <v>52.56</v>
      </c>
      <c r="I43" s="146">
        <v>5</v>
      </c>
      <c r="J43" s="201"/>
    </row>
    <row r="44" spans="2:10" ht="15.75" thickBot="1">
      <c r="B44" s="123" t="s">
        <v>157</v>
      </c>
      <c r="C44" s="144">
        <v>744</v>
      </c>
      <c r="D44" s="144"/>
      <c r="E44" s="146" t="s">
        <v>16</v>
      </c>
      <c r="F44" s="147">
        <v>-21</v>
      </c>
      <c r="G44" s="151">
        <v>78</v>
      </c>
      <c r="H44" s="151">
        <v>57</v>
      </c>
      <c r="I44" s="146">
        <v>5</v>
      </c>
      <c r="J44" s="201"/>
    </row>
    <row r="45" spans="2:10" ht="26.25" thickBot="1">
      <c r="B45" s="119" t="s">
        <v>158</v>
      </c>
      <c r="C45" s="145"/>
      <c r="D45" s="145"/>
      <c r="E45" s="146" t="s">
        <v>16</v>
      </c>
      <c r="F45" s="148">
        <v>-10.5</v>
      </c>
      <c r="G45" s="152">
        <v>61.28</v>
      </c>
      <c r="H45" s="152">
        <v>46.81</v>
      </c>
      <c r="I45" s="146">
        <v>5</v>
      </c>
    </row>
    <row r="46" spans="2:10" ht="15.75" thickBot="1">
      <c r="B46" s="327" t="s">
        <v>158</v>
      </c>
      <c r="C46" s="301" t="s">
        <v>140</v>
      </c>
      <c r="D46" s="303"/>
      <c r="E46" s="146" t="s">
        <v>16</v>
      </c>
      <c r="F46" s="146">
        <v>-11.07</v>
      </c>
      <c r="G46" s="150">
        <v>66.040000000000006</v>
      </c>
      <c r="H46" s="150">
        <v>49.58</v>
      </c>
      <c r="I46" s="146">
        <v>5</v>
      </c>
    </row>
    <row r="47" spans="2:10" ht="15.75" thickBot="1">
      <c r="B47" s="328"/>
      <c r="C47" s="301" t="s">
        <v>159</v>
      </c>
      <c r="D47" s="303"/>
      <c r="E47" s="146" t="s">
        <v>16</v>
      </c>
      <c r="F47" s="146">
        <v>10.050000000000001</v>
      </c>
      <c r="G47" s="150">
        <v>38.5</v>
      </c>
      <c r="H47" s="150">
        <v>33.25</v>
      </c>
      <c r="I47" s="146">
        <v>5</v>
      </c>
    </row>
    <row r="51" spans="2:9" ht="16.5">
      <c r="I51" s="13" t="s">
        <v>136</v>
      </c>
    </row>
    <row r="52" spans="2:9">
      <c r="B52" s="339" t="s">
        <v>137</v>
      </c>
      <c r="C52" s="339"/>
      <c r="D52" s="339"/>
      <c r="E52" s="339"/>
      <c r="F52" s="339"/>
      <c r="G52" s="339"/>
      <c r="H52" s="339"/>
      <c r="I52" s="339"/>
    </row>
    <row r="53" spans="2:9" ht="21.75" customHeight="1">
      <c r="B53" s="339"/>
      <c r="C53" s="339"/>
      <c r="D53" s="339"/>
      <c r="E53" s="339"/>
      <c r="F53" s="339"/>
      <c r="G53" s="339"/>
      <c r="H53" s="339"/>
      <c r="I53" s="339"/>
    </row>
    <row r="54" spans="2:9" ht="16.5" customHeight="1">
      <c r="B54" s="341" t="s">
        <v>452</v>
      </c>
      <c r="C54" s="341"/>
      <c r="D54" s="341"/>
      <c r="E54" s="122"/>
      <c r="F54" s="122"/>
      <c r="G54" s="122"/>
      <c r="H54" s="122"/>
      <c r="I54" s="122"/>
    </row>
    <row r="55" spans="2:9" ht="17.25" thickBot="1">
      <c r="B55" s="1"/>
    </row>
    <row r="56" spans="2:9" ht="15.75" thickBot="1">
      <c r="B56" s="327" t="s">
        <v>138</v>
      </c>
      <c r="C56" s="301" t="s">
        <v>139</v>
      </c>
      <c r="D56" s="303"/>
      <c r="E56" s="301" t="s">
        <v>99</v>
      </c>
      <c r="F56" s="302"/>
      <c r="G56" s="302"/>
      <c r="H56" s="302"/>
      <c r="I56" s="303"/>
    </row>
    <row r="57" spans="2:9" ht="26.25" thickBot="1">
      <c r="B57" s="338"/>
      <c r="C57" s="9" t="s">
        <v>140</v>
      </c>
      <c r="D57" s="9" t="s">
        <v>141</v>
      </c>
      <c r="E57" s="112" t="s">
        <v>160</v>
      </c>
      <c r="F57" s="112" t="s">
        <v>142</v>
      </c>
      <c r="G57" s="112" t="s">
        <v>143</v>
      </c>
      <c r="H57" s="112" t="s">
        <v>144</v>
      </c>
      <c r="I57" s="9" t="s">
        <v>145</v>
      </c>
    </row>
    <row r="58" spans="2:9" ht="15.75" thickBot="1">
      <c r="B58" s="36" t="s">
        <v>146</v>
      </c>
      <c r="C58" s="143">
        <v>744</v>
      </c>
      <c r="D58" s="143"/>
      <c r="E58" s="146" t="s">
        <v>16</v>
      </c>
      <c r="F58" s="146">
        <v>-19.7</v>
      </c>
      <c r="G58" s="150">
        <v>70</v>
      </c>
      <c r="H58" s="150">
        <v>50</v>
      </c>
      <c r="I58" s="150">
        <v>5</v>
      </c>
    </row>
    <row r="59" spans="2:9" ht="15.75" thickBot="1">
      <c r="B59" s="123" t="s">
        <v>147</v>
      </c>
      <c r="C59" s="143">
        <v>696</v>
      </c>
      <c r="D59" s="143"/>
      <c r="E59" s="146" t="s">
        <v>16</v>
      </c>
      <c r="F59" s="146">
        <v>-22.3</v>
      </c>
      <c r="G59" s="150">
        <v>70</v>
      </c>
      <c r="H59" s="150">
        <v>50</v>
      </c>
      <c r="I59" s="150">
        <v>5</v>
      </c>
    </row>
    <row r="60" spans="2:9" ht="15.75" thickBot="1">
      <c r="B60" s="123" t="s">
        <v>148</v>
      </c>
      <c r="C60" s="143">
        <v>744</v>
      </c>
      <c r="D60" s="143"/>
      <c r="E60" s="146" t="s">
        <v>16</v>
      </c>
      <c r="F60" s="146">
        <v>-20.6</v>
      </c>
      <c r="G60" s="150">
        <v>70</v>
      </c>
      <c r="H60" s="150">
        <v>50</v>
      </c>
      <c r="I60" s="150">
        <v>5</v>
      </c>
    </row>
    <row r="61" spans="2:9" ht="15.75" thickBot="1">
      <c r="B61" s="123" t="s">
        <v>149</v>
      </c>
      <c r="C61" s="143">
        <v>720</v>
      </c>
      <c r="D61" s="143"/>
      <c r="E61" s="146" t="s">
        <v>16</v>
      </c>
      <c r="F61" s="146">
        <v>-12.9</v>
      </c>
      <c r="G61" s="150">
        <v>70</v>
      </c>
      <c r="H61" s="150">
        <v>50</v>
      </c>
      <c r="I61" s="150">
        <v>5</v>
      </c>
    </row>
    <row r="62" spans="2:9" ht="15.75" thickBot="1">
      <c r="B62" s="123" t="s">
        <v>150</v>
      </c>
      <c r="C62" s="143">
        <v>744</v>
      </c>
      <c r="D62" s="143"/>
      <c r="E62" s="146" t="s">
        <v>16</v>
      </c>
      <c r="F62" s="146">
        <v>-3</v>
      </c>
      <c r="G62" s="150">
        <v>70</v>
      </c>
      <c r="H62" s="150">
        <v>50</v>
      </c>
      <c r="I62" s="150">
        <v>5</v>
      </c>
    </row>
    <row r="63" spans="2:9" ht="15.75" thickBot="1">
      <c r="B63" s="123" t="s">
        <v>151</v>
      </c>
      <c r="C63" s="143">
        <v>720</v>
      </c>
      <c r="D63" s="143"/>
      <c r="E63" s="146" t="s">
        <v>16</v>
      </c>
      <c r="F63" s="146">
        <v>5.4</v>
      </c>
      <c r="G63" s="150">
        <v>70</v>
      </c>
      <c r="H63" s="150">
        <v>50</v>
      </c>
      <c r="I63" s="150">
        <v>5</v>
      </c>
    </row>
    <row r="64" spans="2:9" ht="15.75" thickBot="1">
      <c r="B64" s="123" t="s">
        <v>152</v>
      </c>
      <c r="C64" s="143"/>
      <c r="D64" s="143">
        <v>576</v>
      </c>
      <c r="E64" s="146" t="s">
        <v>16</v>
      </c>
      <c r="F64" s="146">
        <v>10.6</v>
      </c>
      <c r="G64" s="150">
        <v>70</v>
      </c>
      <c r="H64" s="150">
        <v>50</v>
      </c>
      <c r="I64" s="150">
        <v>15</v>
      </c>
    </row>
    <row r="65" spans="2:9" ht="15.75" thickBot="1">
      <c r="B65" s="123" t="s">
        <v>153</v>
      </c>
      <c r="C65" s="143"/>
      <c r="D65" s="143">
        <v>576</v>
      </c>
      <c r="E65" s="146" t="s">
        <v>16</v>
      </c>
      <c r="F65" s="146">
        <v>9.5</v>
      </c>
      <c r="G65" s="150">
        <v>70</v>
      </c>
      <c r="H65" s="150">
        <v>50</v>
      </c>
      <c r="I65" s="150">
        <v>15</v>
      </c>
    </row>
    <row r="66" spans="2:9" ht="15.75" thickBot="1">
      <c r="B66" s="123" t="s">
        <v>154</v>
      </c>
      <c r="C66" s="143">
        <v>720</v>
      </c>
      <c r="D66" s="143"/>
      <c r="E66" s="146" t="s">
        <v>16</v>
      </c>
      <c r="F66" s="146">
        <v>3.9</v>
      </c>
      <c r="G66" s="150">
        <v>70</v>
      </c>
      <c r="H66" s="150">
        <v>50</v>
      </c>
      <c r="I66" s="150">
        <v>5</v>
      </c>
    </row>
    <row r="67" spans="2:9" ht="15.75" thickBot="1">
      <c r="B67" s="123" t="s">
        <v>155</v>
      </c>
      <c r="C67" s="143">
        <v>744</v>
      </c>
      <c r="D67" s="143"/>
      <c r="E67" s="146" t="s">
        <v>16</v>
      </c>
      <c r="F67" s="146">
        <v>-5.9</v>
      </c>
      <c r="G67" s="150">
        <v>70</v>
      </c>
      <c r="H67" s="150">
        <v>50</v>
      </c>
      <c r="I67" s="150">
        <v>5</v>
      </c>
    </row>
    <row r="68" spans="2:9" ht="15.75" thickBot="1">
      <c r="B68" s="123" t="s">
        <v>156</v>
      </c>
      <c r="C68" s="143">
        <v>720</v>
      </c>
      <c r="D68" s="143"/>
      <c r="E68" s="146" t="s">
        <v>16</v>
      </c>
      <c r="F68" s="146">
        <v>-14.6</v>
      </c>
      <c r="G68" s="150">
        <v>70</v>
      </c>
      <c r="H68" s="150">
        <v>50</v>
      </c>
      <c r="I68" s="150">
        <v>5</v>
      </c>
    </row>
    <row r="69" spans="2:9" ht="15.75" thickBot="1">
      <c r="B69" s="123" t="s">
        <v>157</v>
      </c>
      <c r="C69" s="144">
        <v>744</v>
      </c>
      <c r="D69" s="144"/>
      <c r="E69" s="147" t="s">
        <v>16</v>
      </c>
      <c r="F69" s="147">
        <v>-21</v>
      </c>
      <c r="G69" s="150">
        <v>70</v>
      </c>
      <c r="H69" s="150">
        <v>50</v>
      </c>
      <c r="I69" s="151">
        <v>5</v>
      </c>
    </row>
    <row r="70" spans="2:9" ht="26.25" thickBot="1">
      <c r="B70" s="119" t="s">
        <v>158</v>
      </c>
      <c r="C70" s="145"/>
      <c r="D70" s="145"/>
      <c r="E70" s="148" t="s">
        <v>16</v>
      </c>
      <c r="F70" s="148">
        <v>-10.5</v>
      </c>
      <c r="G70" s="150">
        <v>70</v>
      </c>
      <c r="H70" s="150">
        <v>50</v>
      </c>
      <c r="I70" s="149">
        <v>5</v>
      </c>
    </row>
    <row r="71" spans="2:9" ht="15.75" thickBot="1">
      <c r="B71" s="327" t="s">
        <v>158</v>
      </c>
      <c r="C71" s="301" t="s">
        <v>140</v>
      </c>
      <c r="D71" s="303"/>
      <c r="E71" s="146" t="s">
        <v>16</v>
      </c>
      <c r="F71" s="146">
        <v>-11.07</v>
      </c>
      <c r="G71" s="150">
        <v>70</v>
      </c>
      <c r="H71" s="150">
        <v>50</v>
      </c>
      <c r="I71" s="150">
        <v>5</v>
      </c>
    </row>
    <row r="72" spans="2:9" ht="15.75" thickBot="1">
      <c r="B72" s="328"/>
      <c r="C72" s="301" t="s">
        <v>159</v>
      </c>
      <c r="D72" s="303"/>
      <c r="E72" s="146" t="s">
        <v>16</v>
      </c>
      <c r="F72" s="146">
        <v>10.050000000000001</v>
      </c>
      <c r="G72" s="150">
        <v>70</v>
      </c>
      <c r="H72" s="150">
        <v>50</v>
      </c>
      <c r="I72" s="150">
        <v>5</v>
      </c>
    </row>
  </sheetData>
  <mergeCells count="25">
    <mergeCell ref="M15:O15"/>
    <mergeCell ref="B56:B57"/>
    <mergeCell ref="C56:D56"/>
    <mergeCell ref="E56:I56"/>
    <mergeCell ref="B71:B72"/>
    <mergeCell ref="C71:D71"/>
    <mergeCell ref="C72:D72"/>
    <mergeCell ref="B46:B47"/>
    <mergeCell ref="C46:D46"/>
    <mergeCell ref="C47:D47"/>
    <mergeCell ref="B52:I53"/>
    <mergeCell ref="B54:D54"/>
    <mergeCell ref="B27:I28"/>
    <mergeCell ref="B29:D29"/>
    <mergeCell ref="B31:B32"/>
    <mergeCell ref="C31:D31"/>
    <mergeCell ref="E31:I31"/>
    <mergeCell ref="C23:D23"/>
    <mergeCell ref="B22:B23"/>
    <mergeCell ref="B3:I4"/>
    <mergeCell ref="B7:B8"/>
    <mergeCell ref="C7:D7"/>
    <mergeCell ref="E7:I7"/>
    <mergeCell ref="C22:D22"/>
    <mergeCell ref="B5:D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20"/>
  <sheetViews>
    <sheetView zoomScale="85" zoomScaleNormal="85" workbookViewId="0">
      <selection activeCell="G33" sqref="G33"/>
    </sheetView>
  </sheetViews>
  <sheetFormatPr defaultRowHeight="15"/>
  <cols>
    <col min="2" max="2" width="14.5703125" customWidth="1"/>
    <col min="3" max="3" width="11.7109375" customWidth="1"/>
    <col min="4" max="4" width="13" customWidth="1"/>
    <col min="5" max="5" width="14.85546875" customWidth="1"/>
    <col min="6" max="6" width="18.28515625" customWidth="1"/>
    <col min="7" max="7" width="14.85546875" customWidth="1"/>
    <col min="8" max="8" width="15.42578125" customWidth="1"/>
  </cols>
  <sheetData>
    <row r="2" spans="2:9" ht="16.5">
      <c r="H2" s="13" t="s">
        <v>161</v>
      </c>
    </row>
    <row r="3" spans="2:9" ht="16.5">
      <c r="B3" s="1"/>
    </row>
    <row r="4" spans="2:9" ht="16.5">
      <c r="B4" s="7" t="s">
        <v>162</v>
      </c>
    </row>
    <row r="5" spans="2:9" ht="17.25" thickBot="1">
      <c r="B5" s="1"/>
    </row>
    <row r="6" spans="2:9" ht="15.75" thickBot="1">
      <c r="B6" s="327" t="s">
        <v>163</v>
      </c>
      <c r="C6" s="301" t="s">
        <v>139</v>
      </c>
      <c r="D6" s="302"/>
      <c r="E6" s="301" t="s">
        <v>164</v>
      </c>
      <c r="F6" s="303"/>
      <c r="G6" s="40" t="s">
        <v>165</v>
      </c>
      <c r="H6" s="9" t="s">
        <v>166</v>
      </c>
    </row>
    <row r="7" spans="2:9" ht="51.75" thickBot="1">
      <c r="B7" s="328"/>
      <c r="C7" s="9" t="s">
        <v>140</v>
      </c>
      <c r="D7" s="9" t="s">
        <v>141</v>
      </c>
      <c r="E7" s="40" t="s">
        <v>167</v>
      </c>
      <c r="F7" s="9" t="s">
        <v>169</v>
      </c>
      <c r="G7" s="40" t="s">
        <v>168</v>
      </c>
      <c r="H7" s="9" t="s">
        <v>168</v>
      </c>
    </row>
    <row r="8" spans="2:9" ht="17.25" thickBot="1">
      <c r="B8" s="32" t="s">
        <v>146</v>
      </c>
      <c r="C8" s="5"/>
      <c r="D8" s="5"/>
      <c r="E8" s="3"/>
      <c r="F8" s="6"/>
      <c r="G8" s="3"/>
      <c r="H8" s="6"/>
      <c r="I8" s="43"/>
    </row>
    <row r="9" spans="2:9" ht="17.25" thickBot="1">
      <c r="B9" s="32" t="s">
        <v>147</v>
      </c>
      <c r="C9" s="5"/>
      <c r="D9" s="5"/>
      <c r="E9" s="44"/>
      <c r="F9" s="6"/>
      <c r="G9" s="44"/>
      <c r="H9" s="46"/>
      <c r="I9" s="43"/>
    </row>
    <row r="10" spans="2:9" ht="17.25" thickBot="1">
      <c r="B10" s="32" t="s">
        <v>148</v>
      </c>
      <c r="C10" s="5"/>
      <c r="D10" s="5"/>
      <c r="E10" s="44"/>
      <c r="F10" s="6"/>
      <c r="G10" s="44"/>
      <c r="H10" s="46"/>
      <c r="I10" s="43"/>
    </row>
    <row r="11" spans="2:9" ht="17.25" thickBot="1">
      <c r="B11" s="32" t="s">
        <v>149</v>
      </c>
      <c r="C11" s="5"/>
      <c r="D11" s="5"/>
      <c r="E11" s="44"/>
      <c r="F11" s="6"/>
      <c r="G11" s="44"/>
      <c r="H11" s="46"/>
      <c r="I11" s="43"/>
    </row>
    <row r="12" spans="2:9" ht="17.25" thickBot="1">
      <c r="B12" s="32" t="s">
        <v>150</v>
      </c>
      <c r="C12" s="5"/>
      <c r="D12" s="5"/>
      <c r="E12" s="44"/>
      <c r="F12" s="6"/>
      <c r="G12" s="44"/>
      <c r="H12" s="46"/>
      <c r="I12" s="43"/>
    </row>
    <row r="13" spans="2:9" ht="17.25" thickBot="1">
      <c r="B13" s="32" t="s">
        <v>151</v>
      </c>
      <c r="C13" s="5"/>
      <c r="D13" s="5"/>
      <c r="E13" s="44"/>
      <c r="F13" s="6"/>
      <c r="G13" s="44"/>
      <c r="H13" s="46"/>
      <c r="I13" s="43"/>
    </row>
    <row r="14" spans="2:9" ht="17.25" thickBot="1">
      <c r="B14" s="32" t="s">
        <v>152</v>
      </c>
      <c r="C14" s="5"/>
      <c r="D14" s="5"/>
      <c r="E14" s="44"/>
      <c r="F14" s="6"/>
      <c r="G14" s="44"/>
      <c r="H14" s="46"/>
      <c r="I14" s="43"/>
    </row>
    <row r="15" spans="2:9" ht="17.25" thickBot="1">
      <c r="B15" s="32" t="s">
        <v>153</v>
      </c>
      <c r="C15" s="5"/>
      <c r="D15" s="5"/>
      <c r="E15" s="44"/>
      <c r="F15" s="6"/>
      <c r="G15" s="44"/>
      <c r="H15" s="46"/>
      <c r="I15" s="43"/>
    </row>
    <row r="16" spans="2:9" ht="17.25" thickBot="1">
      <c r="B16" s="32" t="s">
        <v>154</v>
      </c>
      <c r="C16" s="5"/>
      <c r="D16" s="5"/>
      <c r="E16" s="44"/>
      <c r="F16" s="6"/>
      <c r="G16" s="44"/>
      <c r="H16" s="46"/>
      <c r="I16" s="43"/>
    </row>
    <row r="17" spans="2:9" ht="17.25" thickBot="1">
      <c r="B17" s="32" t="s">
        <v>155</v>
      </c>
      <c r="C17" s="5"/>
      <c r="D17" s="5"/>
      <c r="E17" s="44"/>
      <c r="F17" s="6"/>
      <c r="G17" s="44"/>
      <c r="H17" s="46"/>
      <c r="I17" s="43"/>
    </row>
    <row r="18" spans="2:9" ht="17.25" thickBot="1">
      <c r="B18" s="32" t="s">
        <v>156</v>
      </c>
      <c r="C18" s="5"/>
      <c r="D18" s="5"/>
      <c r="E18" s="44"/>
      <c r="F18" s="6"/>
      <c r="G18" s="44"/>
      <c r="H18" s="46"/>
      <c r="I18" s="43"/>
    </row>
    <row r="19" spans="2:9" ht="17.25" thickBot="1">
      <c r="B19" s="32" t="s">
        <v>157</v>
      </c>
      <c r="C19" s="5"/>
      <c r="D19" s="5"/>
      <c r="E19" s="44"/>
      <c r="F19" s="6"/>
      <c r="G19" s="44"/>
      <c r="H19" s="46"/>
      <c r="I19" s="43"/>
    </row>
    <row r="20" spans="2:9" ht="26.25" thickBot="1">
      <c r="B20" s="32" t="s">
        <v>158</v>
      </c>
      <c r="C20" s="5"/>
      <c r="D20" s="5"/>
      <c r="E20" s="44"/>
      <c r="F20" s="6"/>
      <c r="G20" s="44"/>
      <c r="H20" s="46"/>
      <c r="I20" s="43"/>
    </row>
  </sheetData>
  <mergeCells count="3">
    <mergeCell ref="C6:D6"/>
    <mergeCell ref="E6:F6"/>
    <mergeCell ref="B6:B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65"/>
  <sheetViews>
    <sheetView topLeftCell="A148" zoomScale="85" zoomScaleNormal="85" workbookViewId="0">
      <selection activeCell="K161" sqref="K161"/>
    </sheetView>
  </sheetViews>
  <sheetFormatPr defaultRowHeight="15"/>
  <cols>
    <col min="2" max="2" width="36.28515625" customWidth="1"/>
    <col min="3" max="3" width="11.7109375" customWidth="1"/>
    <col min="4" max="4" width="16" customWidth="1"/>
    <col min="5" max="5" width="15.140625" customWidth="1"/>
    <col min="6" max="6" width="19.42578125" customWidth="1"/>
    <col min="7" max="7" width="18.140625" customWidth="1"/>
  </cols>
  <sheetData>
    <row r="2" spans="2:7" ht="16.5">
      <c r="G2" s="13" t="s">
        <v>170</v>
      </c>
    </row>
    <row r="3" spans="2:7" ht="16.5">
      <c r="B3" s="1"/>
    </row>
    <row r="4" spans="2:7" ht="16.5">
      <c r="B4" s="7" t="s">
        <v>472</v>
      </c>
    </row>
    <row r="5" spans="2:7" ht="17.25" thickBot="1">
      <c r="B5" s="1"/>
    </row>
    <row r="6" spans="2:7" ht="64.5" thickBot="1">
      <c r="B6" s="27" t="s">
        <v>171</v>
      </c>
      <c r="C6" s="27" t="s">
        <v>172</v>
      </c>
      <c r="D6" s="27" t="s">
        <v>173</v>
      </c>
      <c r="E6" s="27" t="s">
        <v>174</v>
      </c>
      <c r="F6" s="30" t="s">
        <v>343</v>
      </c>
      <c r="G6" s="30" t="s">
        <v>344</v>
      </c>
    </row>
    <row r="7" spans="2:7" ht="15.75" thickBot="1">
      <c r="B7" s="9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7" ht="26.25" thickBot="1">
      <c r="B8" s="153" t="s">
        <v>453</v>
      </c>
      <c r="C8" s="154" t="s">
        <v>454</v>
      </c>
      <c r="D8" s="154"/>
      <c r="E8" s="154"/>
      <c r="F8" s="154" t="s">
        <v>455</v>
      </c>
      <c r="G8" s="154"/>
    </row>
    <row r="9" spans="2:7" ht="26.25" customHeight="1" thickBot="1">
      <c r="B9" s="153" t="s">
        <v>456</v>
      </c>
      <c r="C9" s="154" t="s">
        <v>454</v>
      </c>
      <c r="D9" s="154"/>
      <c r="E9" s="154" t="s">
        <v>457</v>
      </c>
      <c r="F9" s="154" t="s">
        <v>455</v>
      </c>
      <c r="G9" s="154"/>
    </row>
    <row r="10" spans="2:7" ht="26.25" customHeight="1" thickBot="1">
      <c r="B10" s="153" t="s">
        <v>458</v>
      </c>
      <c r="C10" s="154" t="s">
        <v>459</v>
      </c>
      <c r="D10" s="154"/>
      <c r="E10" s="154" t="s">
        <v>460</v>
      </c>
      <c r="F10" s="154" t="s">
        <v>455</v>
      </c>
      <c r="G10" s="154"/>
    </row>
    <row r="11" spans="2:7" ht="26.25" customHeight="1" thickBot="1">
      <c r="B11" s="153" t="s">
        <v>461</v>
      </c>
      <c r="C11" s="154" t="s">
        <v>462</v>
      </c>
      <c r="D11" s="154"/>
      <c r="E11" s="154" t="s">
        <v>463</v>
      </c>
      <c r="F11" s="154" t="s">
        <v>455</v>
      </c>
      <c r="G11" s="154"/>
    </row>
    <row r="12" spans="2:7" ht="26.25" customHeight="1" thickBot="1">
      <c r="B12" s="153" t="s">
        <v>464</v>
      </c>
      <c r="C12" s="154" t="s">
        <v>465</v>
      </c>
      <c r="D12" s="154"/>
      <c r="E12" s="154" t="s">
        <v>463</v>
      </c>
      <c r="F12" s="154" t="s">
        <v>455</v>
      </c>
      <c r="G12" s="154"/>
    </row>
    <row r="13" spans="2:7" ht="26.25" customHeight="1" thickBot="1">
      <c r="B13" s="153" t="s">
        <v>466</v>
      </c>
      <c r="C13" s="154" t="s">
        <v>467</v>
      </c>
      <c r="D13" s="154"/>
      <c r="E13" s="154" t="s">
        <v>460</v>
      </c>
      <c r="F13" s="154" t="s">
        <v>455</v>
      </c>
      <c r="G13" s="154"/>
    </row>
    <row r="14" spans="2:7" ht="26.25" customHeight="1" thickBot="1">
      <c r="B14" s="153" t="s">
        <v>468</v>
      </c>
      <c r="C14" s="154" t="s">
        <v>467</v>
      </c>
      <c r="D14" s="154"/>
      <c r="E14" s="154" t="s">
        <v>463</v>
      </c>
      <c r="F14" s="154" t="s">
        <v>469</v>
      </c>
      <c r="G14" s="154"/>
    </row>
    <row r="15" spans="2:7" ht="26.25" customHeight="1" thickBot="1">
      <c r="B15" s="153" t="s">
        <v>470</v>
      </c>
      <c r="C15" s="154" t="s">
        <v>467</v>
      </c>
      <c r="D15" s="154"/>
      <c r="E15" s="154" t="s">
        <v>463</v>
      </c>
      <c r="F15" s="154" t="s">
        <v>469</v>
      </c>
      <c r="G15" s="154"/>
    </row>
    <row r="16" spans="2:7" ht="26.25" customHeight="1" thickBot="1">
      <c r="B16" s="153" t="s">
        <v>471</v>
      </c>
      <c r="C16" s="154" t="s">
        <v>454</v>
      </c>
      <c r="D16" s="154"/>
      <c r="E16" s="154" t="s">
        <v>463</v>
      </c>
      <c r="F16" s="154" t="s">
        <v>455</v>
      </c>
      <c r="G16" s="154"/>
    </row>
    <row r="19" spans="2:7" ht="16.5">
      <c r="B19" s="7" t="s">
        <v>473</v>
      </c>
    </row>
    <row r="20" spans="2:7" ht="17.25" thickBot="1">
      <c r="B20" s="1"/>
    </row>
    <row r="21" spans="2:7" ht="64.5" thickBot="1">
      <c r="B21" s="118" t="s">
        <v>171</v>
      </c>
      <c r="C21" s="118" t="s">
        <v>172</v>
      </c>
      <c r="D21" s="118" t="s">
        <v>173</v>
      </c>
      <c r="E21" s="118" t="s">
        <v>174</v>
      </c>
      <c r="F21" s="120" t="s">
        <v>343</v>
      </c>
      <c r="G21" s="120" t="s">
        <v>344</v>
      </c>
    </row>
    <row r="22" spans="2:7" ht="15.75" thickBot="1">
      <c r="B22" s="9">
        <v>1</v>
      </c>
      <c r="C22" s="113">
        <v>2</v>
      </c>
      <c r="D22" s="113">
        <v>3</v>
      </c>
      <c r="E22" s="113">
        <v>4</v>
      </c>
      <c r="F22" s="113">
        <v>5</v>
      </c>
      <c r="G22" s="113">
        <v>6</v>
      </c>
    </row>
    <row r="23" spans="2:7" ht="26.25" thickBot="1">
      <c r="B23" s="153" t="s">
        <v>453</v>
      </c>
      <c r="C23" s="154" t="s">
        <v>454</v>
      </c>
      <c r="D23" s="154"/>
      <c r="E23" s="154"/>
      <c r="F23" s="154" t="s">
        <v>455</v>
      </c>
      <c r="G23" s="154"/>
    </row>
    <row r="24" spans="2:7" ht="26.25" customHeight="1" thickBot="1">
      <c r="B24" s="153" t="s">
        <v>456</v>
      </c>
      <c r="C24" s="154" t="s">
        <v>454</v>
      </c>
      <c r="D24" s="154"/>
      <c r="E24" s="154" t="s">
        <v>457</v>
      </c>
      <c r="F24" s="154" t="s">
        <v>455</v>
      </c>
      <c r="G24" s="154"/>
    </row>
    <row r="25" spans="2:7" ht="26.25" customHeight="1" thickBot="1">
      <c r="B25" s="153" t="s">
        <v>458</v>
      </c>
      <c r="C25" s="154" t="s">
        <v>459</v>
      </c>
      <c r="D25" s="154"/>
      <c r="E25" s="154" t="s">
        <v>460</v>
      </c>
      <c r="F25" s="154" t="s">
        <v>455</v>
      </c>
      <c r="G25" s="154"/>
    </row>
    <row r="26" spans="2:7" ht="26.25" customHeight="1" thickBot="1">
      <c r="B26" s="153" t="s">
        <v>461</v>
      </c>
      <c r="C26" s="154" t="s">
        <v>462</v>
      </c>
      <c r="D26" s="154"/>
      <c r="E26" s="154" t="s">
        <v>463</v>
      </c>
      <c r="F26" s="154" t="s">
        <v>455</v>
      </c>
      <c r="G26" s="154"/>
    </row>
    <row r="27" spans="2:7" ht="26.25" customHeight="1" thickBot="1">
      <c r="B27" s="153" t="s">
        <v>464</v>
      </c>
      <c r="C27" s="154" t="s">
        <v>459</v>
      </c>
      <c r="D27" s="154"/>
      <c r="E27" s="154" t="s">
        <v>463</v>
      </c>
      <c r="F27" s="154" t="s">
        <v>455</v>
      </c>
      <c r="G27" s="154"/>
    </row>
    <row r="28" spans="2:7" ht="26.25" customHeight="1" thickBot="1">
      <c r="B28" s="153" t="s">
        <v>474</v>
      </c>
      <c r="C28" s="154" t="s">
        <v>454</v>
      </c>
      <c r="D28" s="154"/>
      <c r="E28" s="154" t="s">
        <v>463</v>
      </c>
      <c r="F28" s="154" t="s">
        <v>455</v>
      </c>
      <c r="G28" s="154"/>
    </row>
    <row r="29" spans="2:7" ht="26.25" customHeight="1" thickBot="1">
      <c r="B29" s="153" t="s">
        <v>475</v>
      </c>
      <c r="C29" s="154" t="s">
        <v>454</v>
      </c>
      <c r="D29" s="154"/>
      <c r="E29" s="154" t="s">
        <v>460</v>
      </c>
      <c r="F29" s="154" t="s">
        <v>455</v>
      </c>
      <c r="G29" s="154"/>
    </row>
    <row r="30" spans="2:7" ht="26.25" customHeight="1" thickBot="1">
      <c r="B30" s="153" t="s">
        <v>466</v>
      </c>
      <c r="C30" s="154" t="s">
        <v>454</v>
      </c>
      <c r="D30" s="154"/>
      <c r="E30" s="154" t="s">
        <v>460</v>
      </c>
      <c r="F30" s="154" t="s">
        <v>476</v>
      </c>
      <c r="G30" s="154"/>
    </row>
    <row r="31" spans="2:7" ht="26.25" customHeight="1" thickBot="1">
      <c r="B31" s="153" t="s">
        <v>468</v>
      </c>
      <c r="C31" s="154" t="s">
        <v>454</v>
      </c>
      <c r="D31" s="154"/>
      <c r="E31" s="154" t="s">
        <v>463</v>
      </c>
      <c r="F31" s="154" t="s">
        <v>469</v>
      </c>
      <c r="G31" s="154"/>
    </row>
    <row r="32" spans="2:7" ht="26.25" customHeight="1" thickBot="1">
      <c r="B32" s="153" t="s">
        <v>470</v>
      </c>
      <c r="C32" s="154" t="s">
        <v>454</v>
      </c>
      <c r="D32" s="154"/>
      <c r="E32" s="154" t="s">
        <v>463</v>
      </c>
      <c r="F32" s="154" t="s">
        <v>455</v>
      </c>
      <c r="G32" s="154"/>
    </row>
    <row r="33" spans="2:7" ht="26.25" customHeight="1" thickBot="1">
      <c r="B33" s="153" t="s">
        <v>477</v>
      </c>
      <c r="C33" s="154" t="s">
        <v>454</v>
      </c>
      <c r="D33" s="154"/>
      <c r="E33" s="154" t="s">
        <v>463</v>
      </c>
      <c r="F33" s="154" t="s">
        <v>469</v>
      </c>
      <c r="G33" s="154"/>
    </row>
    <row r="36" spans="2:7" ht="16.5">
      <c r="B36" s="7" t="s">
        <v>478</v>
      </c>
    </row>
    <row r="37" spans="2:7" ht="17.25" thickBot="1">
      <c r="B37" s="1"/>
    </row>
    <row r="38" spans="2:7" ht="64.5" thickBot="1">
      <c r="B38" s="118" t="s">
        <v>171</v>
      </c>
      <c r="C38" s="118" t="s">
        <v>172</v>
      </c>
      <c r="D38" s="118" t="s">
        <v>173</v>
      </c>
      <c r="E38" s="118" t="s">
        <v>174</v>
      </c>
      <c r="F38" s="120" t="s">
        <v>343</v>
      </c>
      <c r="G38" s="120" t="s">
        <v>344</v>
      </c>
    </row>
    <row r="39" spans="2:7" ht="15.75" thickBot="1">
      <c r="B39" s="9">
        <v>1</v>
      </c>
      <c r="C39" s="113">
        <v>2</v>
      </c>
      <c r="D39" s="113">
        <v>3</v>
      </c>
      <c r="E39" s="113">
        <v>4</v>
      </c>
      <c r="F39" s="113">
        <v>5</v>
      </c>
      <c r="G39" s="113">
        <v>6</v>
      </c>
    </row>
    <row r="40" spans="2:7" ht="26.25" thickBot="1">
      <c r="B40" s="153" t="s">
        <v>479</v>
      </c>
      <c r="C40" s="154" t="s">
        <v>454</v>
      </c>
      <c r="D40" s="154"/>
      <c r="E40" s="154"/>
      <c r="F40" s="154" t="s">
        <v>455</v>
      </c>
      <c r="G40" s="154"/>
    </row>
    <row r="41" spans="2:7" ht="26.25" thickBot="1">
      <c r="B41" s="153" t="s">
        <v>456</v>
      </c>
      <c r="C41" s="154" t="s">
        <v>454</v>
      </c>
      <c r="D41" s="154"/>
      <c r="E41" s="154" t="s">
        <v>457</v>
      </c>
      <c r="F41" s="154" t="s">
        <v>455</v>
      </c>
      <c r="G41" s="154"/>
    </row>
    <row r="42" spans="2:7" ht="26.25" thickBot="1">
      <c r="B42" s="153" t="s">
        <v>458</v>
      </c>
      <c r="C42" s="154" t="s">
        <v>467</v>
      </c>
      <c r="D42" s="154"/>
      <c r="E42" s="154" t="s">
        <v>460</v>
      </c>
      <c r="F42" s="154" t="s">
        <v>455</v>
      </c>
      <c r="G42" s="154"/>
    </row>
    <row r="43" spans="2:7" ht="26.25" thickBot="1">
      <c r="B43" s="153" t="s">
        <v>461</v>
      </c>
      <c r="C43" s="154" t="s">
        <v>462</v>
      </c>
      <c r="D43" s="154"/>
      <c r="E43" s="154" t="s">
        <v>463</v>
      </c>
      <c r="F43" s="154" t="s">
        <v>455</v>
      </c>
      <c r="G43" s="154"/>
    </row>
    <row r="44" spans="2:7" ht="26.25" thickBot="1">
      <c r="B44" s="153" t="s">
        <v>464</v>
      </c>
      <c r="C44" s="154" t="s">
        <v>467</v>
      </c>
      <c r="D44" s="154"/>
      <c r="E44" s="154" t="s">
        <v>463</v>
      </c>
      <c r="F44" s="154" t="s">
        <v>455</v>
      </c>
      <c r="G44" s="154"/>
    </row>
    <row r="45" spans="2:7" ht="26.25" thickBot="1">
      <c r="B45" s="153" t="s">
        <v>474</v>
      </c>
      <c r="C45" s="154" t="s">
        <v>467</v>
      </c>
      <c r="D45" s="154"/>
      <c r="E45" s="154" t="s">
        <v>463</v>
      </c>
      <c r="F45" s="154" t="s">
        <v>455</v>
      </c>
      <c r="G45" s="154"/>
    </row>
    <row r="46" spans="2:7" ht="26.25" thickBot="1">
      <c r="B46" s="153" t="s">
        <v>466</v>
      </c>
      <c r="C46" s="154" t="s">
        <v>467</v>
      </c>
      <c r="D46" s="154"/>
      <c r="E46" s="154" t="s">
        <v>460</v>
      </c>
      <c r="F46" s="154" t="s">
        <v>455</v>
      </c>
      <c r="G46" s="154"/>
    </row>
    <row r="47" spans="2:7" ht="26.25" thickBot="1">
      <c r="B47" s="153" t="s">
        <v>468</v>
      </c>
      <c r="C47" s="154" t="s">
        <v>454</v>
      </c>
      <c r="D47" s="154"/>
      <c r="E47" s="154" t="s">
        <v>463</v>
      </c>
      <c r="F47" s="154" t="s">
        <v>469</v>
      </c>
      <c r="G47" s="154"/>
    </row>
    <row r="48" spans="2:7" ht="26.25" thickBot="1">
      <c r="B48" s="153" t="s">
        <v>470</v>
      </c>
      <c r="C48" s="154" t="s">
        <v>454</v>
      </c>
      <c r="D48" s="154"/>
      <c r="E48" s="154" t="s">
        <v>463</v>
      </c>
      <c r="F48" s="154" t="s">
        <v>455</v>
      </c>
      <c r="G48" s="154"/>
    </row>
    <row r="49" spans="2:7" ht="26.25" thickBot="1">
      <c r="B49" s="153" t="s">
        <v>480</v>
      </c>
      <c r="C49" s="154" t="s">
        <v>454</v>
      </c>
      <c r="D49" s="154"/>
      <c r="E49" s="154" t="s">
        <v>463</v>
      </c>
      <c r="F49" s="154" t="s">
        <v>469</v>
      </c>
      <c r="G49" s="154"/>
    </row>
    <row r="52" spans="2:7" ht="16.5">
      <c r="B52" s="7" t="s">
        <v>481</v>
      </c>
    </row>
    <row r="53" spans="2:7" ht="17.25" thickBot="1">
      <c r="B53" s="1"/>
    </row>
    <row r="54" spans="2:7" ht="64.5" thickBot="1">
      <c r="B54" s="118" t="s">
        <v>171</v>
      </c>
      <c r="C54" s="118" t="s">
        <v>172</v>
      </c>
      <c r="D54" s="118" t="s">
        <v>173</v>
      </c>
      <c r="E54" s="118" t="s">
        <v>174</v>
      </c>
      <c r="F54" s="120" t="s">
        <v>343</v>
      </c>
      <c r="G54" s="120" t="s">
        <v>344</v>
      </c>
    </row>
    <row r="55" spans="2:7" ht="15.75" thickBot="1">
      <c r="B55" s="9">
        <v>1</v>
      </c>
      <c r="C55" s="113">
        <v>2</v>
      </c>
      <c r="D55" s="113">
        <v>3</v>
      </c>
      <c r="E55" s="113">
        <v>4</v>
      </c>
      <c r="F55" s="113">
        <v>5</v>
      </c>
      <c r="G55" s="113">
        <v>6</v>
      </c>
    </row>
    <row r="56" spans="2:7" ht="26.25" thickBot="1">
      <c r="B56" s="153" t="s">
        <v>482</v>
      </c>
      <c r="C56" s="154" t="s">
        <v>454</v>
      </c>
      <c r="D56" s="154"/>
      <c r="E56" s="154"/>
      <c r="F56" s="154" t="s">
        <v>455</v>
      </c>
      <c r="G56" s="154"/>
    </row>
    <row r="57" spans="2:7" ht="26.25" thickBot="1">
      <c r="B57" s="153" t="s">
        <v>456</v>
      </c>
      <c r="C57" s="154" t="s">
        <v>454</v>
      </c>
      <c r="D57" s="154"/>
      <c r="E57" s="154" t="s">
        <v>457</v>
      </c>
      <c r="F57" s="154" t="s">
        <v>455</v>
      </c>
      <c r="G57" s="154"/>
    </row>
    <row r="58" spans="2:7" ht="26.25" thickBot="1">
      <c r="B58" s="153" t="s">
        <v>458</v>
      </c>
      <c r="C58" s="154" t="s">
        <v>454</v>
      </c>
      <c r="D58" s="154"/>
      <c r="E58" s="154" t="s">
        <v>460</v>
      </c>
      <c r="F58" s="154" t="s">
        <v>455</v>
      </c>
      <c r="G58" s="154"/>
    </row>
    <row r="59" spans="2:7" ht="26.25" thickBot="1">
      <c r="B59" s="153" t="s">
        <v>461</v>
      </c>
      <c r="C59" s="154" t="s">
        <v>462</v>
      </c>
      <c r="D59" s="154"/>
      <c r="E59" s="154" t="s">
        <v>463</v>
      </c>
      <c r="F59" s="154" t="s">
        <v>455</v>
      </c>
      <c r="G59" s="154"/>
    </row>
    <row r="60" spans="2:7" ht="26.25" thickBot="1">
      <c r="B60" s="153" t="s">
        <v>464</v>
      </c>
      <c r="C60" s="154" t="s">
        <v>454</v>
      </c>
      <c r="D60" s="154"/>
      <c r="E60" s="154" t="s">
        <v>463</v>
      </c>
      <c r="F60" s="154" t="s">
        <v>455</v>
      </c>
      <c r="G60" s="154"/>
    </row>
    <row r="61" spans="2:7" ht="26.25" thickBot="1">
      <c r="B61" s="153" t="s">
        <v>474</v>
      </c>
      <c r="C61" s="154" t="s">
        <v>454</v>
      </c>
      <c r="D61" s="154"/>
      <c r="E61" s="154" t="s">
        <v>463</v>
      </c>
      <c r="F61" s="154" t="s">
        <v>455</v>
      </c>
      <c r="G61" s="154"/>
    </row>
    <row r="62" spans="2:7" ht="26.25" thickBot="1">
      <c r="B62" s="153" t="s">
        <v>475</v>
      </c>
      <c r="C62" s="154" t="s">
        <v>454</v>
      </c>
      <c r="D62" s="154"/>
      <c r="E62" s="154" t="s">
        <v>460</v>
      </c>
      <c r="F62" s="154" t="s">
        <v>455</v>
      </c>
      <c r="G62" s="154"/>
    </row>
    <row r="63" spans="2:7" ht="26.25" thickBot="1">
      <c r="B63" s="153" t="s">
        <v>466</v>
      </c>
      <c r="C63" s="154" t="s">
        <v>467</v>
      </c>
      <c r="D63" s="154"/>
      <c r="E63" s="154" t="s">
        <v>460</v>
      </c>
      <c r="F63" s="154" t="s">
        <v>455</v>
      </c>
      <c r="G63" s="154"/>
    </row>
    <row r="64" spans="2:7" ht="26.25" thickBot="1">
      <c r="B64" s="153" t="s">
        <v>477</v>
      </c>
      <c r="C64" s="154" t="s">
        <v>454</v>
      </c>
      <c r="D64" s="154"/>
      <c r="E64" s="154" t="s">
        <v>463</v>
      </c>
      <c r="F64" s="154" t="s">
        <v>469</v>
      </c>
      <c r="G64" s="154"/>
    </row>
    <row r="65" spans="2:7" ht="26.25" thickBot="1">
      <c r="B65" s="153" t="s">
        <v>483</v>
      </c>
      <c r="C65" s="154" t="s">
        <v>454</v>
      </c>
      <c r="D65" s="154"/>
      <c r="E65" s="154" t="s">
        <v>463</v>
      </c>
      <c r="F65" s="154" t="s">
        <v>469</v>
      </c>
      <c r="G65" s="154"/>
    </row>
    <row r="68" spans="2:7" ht="16.5">
      <c r="B68" s="7" t="s">
        <v>484</v>
      </c>
    </row>
    <row r="69" spans="2:7" ht="17.25" thickBot="1">
      <c r="B69" s="1"/>
    </row>
    <row r="70" spans="2:7" ht="64.5" thickBot="1">
      <c r="B70" s="118" t="s">
        <v>171</v>
      </c>
      <c r="C70" s="118" t="s">
        <v>172</v>
      </c>
      <c r="D70" s="118" t="s">
        <v>173</v>
      </c>
      <c r="E70" s="118" t="s">
        <v>174</v>
      </c>
      <c r="F70" s="120" t="s">
        <v>343</v>
      </c>
      <c r="G70" s="120" t="s">
        <v>344</v>
      </c>
    </row>
    <row r="71" spans="2:7" ht="15.75" thickBot="1">
      <c r="B71" s="9">
        <v>1</v>
      </c>
      <c r="C71" s="113">
        <v>2</v>
      </c>
      <c r="D71" s="113">
        <v>3</v>
      </c>
      <c r="E71" s="113">
        <v>4</v>
      </c>
      <c r="F71" s="113">
        <v>5</v>
      </c>
      <c r="G71" s="113">
        <v>6</v>
      </c>
    </row>
    <row r="72" spans="2:7" ht="26.25" thickBot="1">
      <c r="B72" s="153" t="s">
        <v>482</v>
      </c>
      <c r="C72" s="154" t="s">
        <v>454</v>
      </c>
      <c r="D72" s="154"/>
      <c r="E72" s="154"/>
      <c r="F72" s="154" t="s">
        <v>455</v>
      </c>
      <c r="G72" s="154"/>
    </row>
    <row r="73" spans="2:7" ht="26.25" thickBot="1">
      <c r="B73" s="153" t="s">
        <v>456</v>
      </c>
      <c r="C73" s="154" t="s">
        <v>454</v>
      </c>
      <c r="D73" s="154"/>
      <c r="E73" s="154" t="s">
        <v>457</v>
      </c>
      <c r="F73" s="154" t="s">
        <v>455</v>
      </c>
      <c r="G73" s="154"/>
    </row>
    <row r="74" spans="2:7" ht="26.25" thickBot="1">
      <c r="B74" s="153" t="s">
        <v>458</v>
      </c>
      <c r="C74" s="154" t="s">
        <v>467</v>
      </c>
      <c r="D74" s="154"/>
      <c r="E74" s="154" t="s">
        <v>460</v>
      </c>
      <c r="F74" s="154" t="s">
        <v>455</v>
      </c>
      <c r="G74" s="154"/>
    </row>
    <row r="75" spans="2:7" ht="26.25" thickBot="1">
      <c r="B75" s="153" t="s">
        <v>461</v>
      </c>
      <c r="C75" s="154" t="s">
        <v>462</v>
      </c>
      <c r="D75" s="154"/>
      <c r="E75" s="154" t="s">
        <v>463</v>
      </c>
      <c r="F75" s="154" t="s">
        <v>455</v>
      </c>
      <c r="G75" s="154"/>
    </row>
    <row r="76" spans="2:7" ht="26.25" thickBot="1">
      <c r="B76" s="153" t="s">
        <v>464</v>
      </c>
      <c r="C76" s="154" t="s">
        <v>467</v>
      </c>
      <c r="D76" s="154"/>
      <c r="E76" s="154" t="s">
        <v>463</v>
      </c>
      <c r="F76" s="154" t="s">
        <v>455</v>
      </c>
      <c r="G76" s="154"/>
    </row>
    <row r="77" spans="2:7" ht="26.25" thickBot="1">
      <c r="B77" s="153" t="s">
        <v>474</v>
      </c>
      <c r="C77" s="154" t="s">
        <v>454</v>
      </c>
      <c r="D77" s="154"/>
      <c r="E77" s="154" t="s">
        <v>463</v>
      </c>
      <c r="F77" s="154" t="s">
        <v>455</v>
      </c>
      <c r="G77" s="154"/>
    </row>
    <row r="78" spans="2:7" ht="26.25" thickBot="1">
      <c r="B78" s="153" t="s">
        <v>475</v>
      </c>
      <c r="C78" s="154" t="s">
        <v>454</v>
      </c>
      <c r="D78" s="154"/>
      <c r="E78" s="154" t="s">
        <v>460</v>
      </c>
      <c r="F78" s="154" t="s">
        <v>455</v>
      </c>
      <c r="G78" s="154"/>
    </row>
    <row r="79" spans="2:7" ht="26.25" thickBot="1">
      <c r="B79" s="153" t="s">
        <v>466</v>
      </c>
      <c r="C79" s="154" t="s">
        <v>467</v>
      </c>
      <c r="D79" s="154"/>
      <c r="E79" s="154" t="s">
        <v>460</v>
      </c>
      <c r="F79" s="154" t="s">
        <v>455</v>
      </c>
      <c r="G79" s="154"/>
    </row>
    <row r="80" spans="2:7" ht="26.25" thickBot="1">
      <c r="B80" s="153" t="s">
        <v>468</v>
      </c>
      <c r="C80" s="154" t="s">
        <v>454</v>
      </c>
      <c r="D80" s="154"/>
      <c r="E80" s="154" t="s">
        <v>463</v>
      </c>
      <c r="F80" s="154" t="s">
        <v>469</v>
      </c>
      <c r="G80" s="154"/>
    </row>
    <row r="81" spans="2:7" ht="26.25" thickBot="1">
      <c r="B81" s="153" t="s">
        <v>471</v>
      </c>
      <c r="C81" s="154" t="s">
        <v>454</v>
      </c>
      <c r="D81" s="154"/>
      <c r="E81" s="154" t="s">
        <v>463</v>
      </c>
      <c r="F81" s="154" t="s">
        <v>469</v>
      </c>
      <c r="G81" s="154"/>
    </row>
    <row r="82" spans="2:7" ht="26.25" thickBot="1">
      <c r="B82" s="153" t="s">
        <v>468</v>
      </c>
      <c r="C82" s="154" t="s">
        <v>454</v>
      </c>
      <c r="D82" s="154"/>
      <c r="E82" s="154" t="s">
        <v>463</v>
      </c>
      <c r="F82" s="154" t="s">
        <v>469</v>
      </c>
      <c r="G82" s="154"/>
    </row>
    <row r="85" spans="2:7" ht="16.5">
      <c r="B85" s="7" t="s">
        <v>485</v>
      </c>
    </row>
    <row r="86" spans="2:7" ht="17.25" thickBot="1">
      <c r="B86" s="1"/>
    </row>
    <row r="87" spans="2:7" ht="64.5" thickBot="1">
      <c r="B87" s="118" t="s">
        <v>171</v>
      </c>
      <c r="C87" s="118" t="s">
        <v>172</v>
      </c>
      <c r="D87" s="118" t="s">
        <v>173</v>
      </c>
      <c r="E87" s="118" t="s">
        <v>174</v>
      </c>
      <c r="F87" s="120" t="s">
        <v>343</v>
      </c>
      <c r="G87" s="120" t="s">
        <v>344</v>
      </c>
    </row>
    <row r="88" spans="2:7" ht="15.75" thickBot="1">
      <c r="B88" s="9">
        <v>1</v>
      </c>
      <c r="C88" s="113">
        <v>2</v>
      </c>
      <c r="D88" s="113">
        <v>3</v>
      </c>
      <c r="E88" s="113">
        <v>4</v>
      </c>
      <c r="F88" s="113">
        <v>5</v>
      </c>
      <c r="G88" s="113">
        <v>6</v>
      </c>
    </row>
    <row r="89" spans="2:7" ht="26.25" thickBot="1">
      <c r="B89" s="153" t="s">
        <v>479</v>
      </c>
      <c r="C89" s="154" t="s">
        <v>454</v>
      </c>
      <c r="D89" s="154"/>
      <c r="E89" s="154"/>
      <c r="F89" s="154" t="s">
        <v>455</v>
      </c>
      <c r="G89" s="154"/>
    </row>
    <row r="90" spans="2:7" ht="26.25" thickBot="1">
      <c r="B90" s="153" t="s">
        <v>456</v>
      </c>
      <c r="C90" s="154" t="s">
        <v>454</v>
      </c>
      <c r="D90" s="154"/>
      <c r="E90" s="154" t="s">
        <v>457</v>
      </c>
      <c r="F90" s="154" t="s">
        <v>455</v>
      </c>
      <c r="G90" s="154"/>
    </row>
    <row r="91" spans="2:7" ht="26.25" thickBot="1">
      <c r="B91" s="153" t="s">
        <v>458</v>
      </c>
      <c r="C91" s="154" t="s">
        <v>454</v>
      </c>
      <c r="D91" s="154"/>
      <c r="E91" s="154" t="s">
        <v>460</v>
      </c>
      <c r="F91" s="154" t="s">
        <v>455</v>
      </c>
      <c r="G91" s="154"/>
    </row>
    <row r="92" spans="2:7" ht="26.25" thickBot="1">
      <c r="B92" s="153" t="s">
        <v>461</v>
      </c>
      <c r="C92" s="154" t="s">
        <v>462</v>
      </c>
      <c r="D92" s="154"/>
      <c r="E92" s="154" t="s">
        <v>463</v>
      </c>
      <c r="F92" s="154" t="s">
        <v>455</v>
      </c>
      <c r="G92" s="154"/>
    </row>
    <row r="93" spans="2:7" ht="26.25" thickBot="1">
      <c r="B93" s="153" t="s">
        <v>464</v>
      </c>
      <c r="C93" s="154" t="s">
        <v>462</v>
      </c>
      <c r="D93" s="154"/>
      <c r="E93" s="154" t="s">
        <v>463</v>
      </c>
      <c r="F93" s="154" t="s">
        <v>455</v>
      </c>
      <c r="G93" s="154"/>
    </row>
    <row r="94" spans="2:7" ht="26.25" thickBot="1">
      <c r="B94" s="153" t="s">
        <v>475</v>
      </c>
      <c r="C94" s="154" t="s">
        <v>467</v>
      </c>
      <c r="D94" s="154"/>
      <c r="E94" s="154" t="s">
        <v>460</v>
      </c>
      <c r="F94" s="154" t="s">
        <v>455</v>
      </c>
      <c r="G94" s="154"/>
    </row>
    <row r="95" spans="2:7" ht="26.25" thickBot="1">
      <c r="B95" s="153" t="s">
        <v>486</v>
      </c>
      <c r="C95" s="154" t="s">
        <v>454</v>
      </c>
      <c r="D95" s="154"/>
      <c r="E95" s="154" t="s">
        <v>463</v>
      </c>
      <c r="F95" s="154" t="s">
        <v>469</v>
      </c>
      <c r="G95" s="154"/>
    </row>
    <row r="96" spans="2:7" ht="26.25" thickBot="1">
      <c r="B96" s="153" t="s">
        <v>470</v>
      </c>
      <c r="C96" s="154" t="s">
        <v>454</v>
      </c>
      <c r="D96" s="154"/>
      <c r="E96" s="154" t="s">
        <v>463</v>
      </c>
      <c r="F96" s="154" t="s">
        <v>469</v>
      </c>
      <c r="G96" s="154"/>
    </row>
    <row r="97" spans="2:7" ht="26.25" thickBot="1">
      <c r="B97" s="153" t="s">
        <v>477</v>
      </c>
      <c r="C97" s="154" t="s">
        <v>454</v>
      </c>
      <c r="D97" s="154"/>
      <c r="E97" s="154" t="s">
        <v>463</v>
      </c>
      <c r="F97" s="154" t="s">
        <v>469</v>
      </c>
      <c r="G97" s="154"/>
    </row>
    <row r="100" spans="2:7" ht="16.5">
      <c r="B100" s="7" t="s">
        <v>487</v>
      </c>
    </row>
    <row r="101" spans="2:7" ht="17.25" thickBot="1">
      <c r="B101" s="1"/>
    </row>
    <row r="102" spans="2:7" ht="64.5" thickBot="1">
      <c r="B102" s="118" t="s">
        <v>171</v>
      </c>
      <c r="C102" s="118" t="s">
        <v>172</v>
      </c>
      <c r="D102" s="118" t="s">
        <v>173</v>
      </c>
      <c r="E102" s="118" t="s">
        <v>174</v>
      </c>
      <c r="F102" s="120" t="s">
        <v>343</v>
      </c>
      <c r="G102" s="120" t="s">
        <v>344</v>
      </c>
    </row>
    <row r="103" spans="2:7" ht="15.75" thickBot="1">
      <c r="B103" s="9">
        <v>1</v>
      </c>
      <c r="C103" s="113">
        <v>2</v>
      </c>
      <c r="D103" s="113">
        <v>3</v>
      </c>
      <c r="E103" s="113">
        <v>4</v>
      </c>
      <c r="F103" s="113">
        <v>5</v>
      </c>
      <c r="G103" s="113">
        <v>6</v>
      </c>
    </row>
    <row r="104" spans="2:7" ht="26.25" thickBot="1">
      <c r="B104" s="153" t="s">
        <v>453</v>
      </c>
      <c r="C104" s="154" t="s">
        <v>454</v>
      </c>
      <c r="D104" s="154"/>
      <c r="E104" s="154"/>
      <c r="F104" s="154" t="s">
        <v>455</v>
      </c>
      <c r="G104" s="154"/>
    </row>
    <row r="105" spans="2:7" ht="26.25" thickBot="1">
      <c r="B105" s="153" t="s">
        <v>458</v>
      </c>
      <c r="C105" s="154" t="s">
        <v>459</v>
      </c>
      <c r="D105" s="154"/>
      <c r="E105" s="154" t="s">
        <v>460</v>
      </c>
      <c r="F105" s="154" t="s">
        <v>455</v>
      </c>
      <c r="G105" s="154"/>
    </row>
    <row r="106" spans="2:7" ht="26.25" thickBot="1">
      <c r="B106" s="153" t="s">
        <v>461</v>
      </c>
      <c r="C106" s="154" t="s">
        <v>462</v>
      </c>
      <c r="D106" s="154"/>
      <c r="E106" s="154" t="s">
        <v>463</v>
      </c>
      <c r="F106" s="154" t="s">
        <v>455</v>
      </c>
      <c r="G106" s="154"/>
    </row>
    <row r="107" spans="2:7" ht="26.25" thickBot="1">
      <c r="B107" s="153" t="s">
        <v>464</v>
      </c>
      <c r="C107" s="154" t="s">
        <v>465</v>
      </c>
      <c r="D107" s="154"/>
      <c r="E107" s="154" t="s">
        <v>463</v>
      </c>
      <c r="F107" s="154" t="s">
        <v>455</v>
      </c>
      <c r="G107" s="154"/>
    </row>
    <row r="108" spans="2:7" ht="26.25" thickBot="1">
      <c r="B108" s="153" t="s">
        <v>466</v>
      </c>
      <c r="C108" s="154" t="s">
        <v>467</v>
      </c>
      <c r="D108" s="154"/>
      <c r="E108" s="154" t="s">
        <v>460</v>
      </c>
      <c r="F108" s="154" t="s">
        <v>455</v>
      </c>
      <c r="G108" s="154"/>
    </row>
    <row r="109" spans="2:7" ht="26.25" thickBot="1">
      <c r="B109" s="153" t="s">
        <v>468</v>
      </c>
      <c r="C109" s="154" t="s">
        <v>467</v>
      </c>
      <c r="D109" s="154"/>
      <c r="E109" s="154" t="s">
        <v>463</v>
      </c>
      <c r="F109" s="154" t="s">
        <v>469</v>
      </c>
      <c r="G109" s="154"/>
    </row>
    <row r="110" spans="2:7" ht="26.25" thickBot="1">
      <c r="B110" s="153" t="s">
        <v>470</v>
      </c>
      <c r="C110" s="154" t="s">
        <v>467</v>
      </c>
      <c r="D110" s="154"/>
      <c r="E110" s="154" t="s">
        <v>463</v>
      </c>
      <c r="F110" s="154" t="s">
        <v>469</v>
      </c>
      <c r="G110" s="154"/>
    </row>
    <row r="111" spans="2:7" ht="15.75" thickBot="1">
      <c r="B111" s="153"/>
      <c r="C111" s="154"/>
      <c r="D111" s="154"/>
      <c r="E111" s="154"/>
      <c r="F111" s="154"/>
      <c r="G111" s="154"/>
    </row>
    <row r="112" spans="2:7" ht="26.25" thickBot="1">
      <c r="B112" s="153" t="s">
        <v>471</v>
      </c>
      <c r="C112" s="154" t="s">
        <v>454</v>
      </c>
      <c r="D112" s="154"/>
      <c r="E112" s="154" t="s">
        <v>463</v>
      </c>
      <c r="F112" s="154" t="s">
        <v>455</v>
      </c>
      <c r="G112" s="154"/>
    </row>
    <row r="115" spans="2:7" ht="16.5">
      <c r="B115" s="7" t="s">
        <v>488</v>
      </c>
    </row>
    <row r="116" spans="2:7" ht="17.25" thickBot="1">
      <c r="B116" s="1"/>
    </row>
    <row r="117" spans="2:7" ht="64.5" thickBot="1">
      <c r="B117" s="118" t="s">
        <v>171</v>
      </c>
      <c r="C117" s="118" t="s">
        <v>172</v>
      </c>
      <c r="D117" s="118" t="s">
        <v>173</v>
      </c>
      <c r="E117" s="118" t="s">
        <v>174</v>
      </c>
      <c r="F117" s="120" t="s">
        <v>343</v>
      </c>
      <c r="G117" s="120" t="s">
        <v>344</v>
      </c>
    </row>
    <row r="118" spans="2:7" ht="15.75" thickBot="1">
      <c r="B118" s="9">
        <v>1</v>
      </c>
      <c r="C118" s="113">
        <v>2</v>
      </c>
      <c r="D118" s="113">
        <v>3</v>
      </c>
      <c r="E118" s="113">
        <v>4</v>
      </c>
      <c r="F118" s="113">
        <v>5</v>
      </c>
      <c r="G118" s="113">
        <v>6</v>
      </c>
    </row>
    <row r="119" spans="2:7" ht="26.25" thickBot="1">
      <c r="B119" s="153" t="s">
        <v>482</v>
      </c>
      <c r="C119" s="154" t="s">
        <v>454</v>
      </c>
      <c r="D119" s="154"/>
      <c r="E119" s="154"/>
      <c r="F119" s="154" t="s">
        <v>455</v>
      </c>
      <c r="G119" s="154"/>
    </row>
    <row r="120" spans="2:7" ht="26.25" thickBot="1">
      <c r="B120" s="153" t="s">
        <v>458</v>
      </c>
      <c r="C120" s="154" t="s">
        <v>454</v>
      </c>
      <c r="D120" s="154"/>
      <c r="E120" s="154" t="s">
        <v>460</v>
      </c>
      <c r="F120" s="154" t="s">
        <v>455</v>
      </c>
      <c r="G120" s="154"/>
    </row>
    <row r="121" spans="2:7" ht="26.25" thickBot="1">
      <c r="B121" s="153" t="s">
        <v>461</v>
      </c>
      <c r="C121" s="154" t="s">
        <v>459</v>
      </c>
      <c r="D121" s="154"/>
      <c r="E121" s="154" t="s">
        <v>463</v>
      </c>
      <c r="F121" s="154" t="s">
        <v>455</v>
      </c>
      <c r="G121" s="154"/>
    </row>
    <row r="122" spans="2:7" ht="26.25" thickBot="1">
      <c r="B122" s="153" t="s">
        <v>464</v>
      </c>
      <c r="C122" s="154" t="s">
        <v>467</v>
      </c>
      <c r="D122" s="154"/>
      <c r="E122" s="154" t="s">
        <v>463</v>
      </c>
      <c r="F122" s="154" t="s">
        <v>455</v>
      </c>
      <c r="G122" s="154"/>
    </row>
    <row r="123" spans="2:7" ht="26.25" thickBot="1">
      <c r="B123" s="153" t="s">
        <v>474</v>
      </c>
      <c r="C123" s="154" t="s">
        <v>454</v>
      </c>
      <c r="D123" s="154"/>
      <c r="E123" s="154" t="s">
        <v>463</v>
      </c>
      <c r="F123" s="154" t="s">
        <v>455</v>
      </c>
      <c r="G123" s="154"/>
    </row>
    <row r="124" spans="2:7" ht="26.25" thickBot="1">
      <c r="B124" s="153" t="s">
        <v>475</v>
      </c>
      <c r="C124" s="154" t="s">
        <v>454</v>
      </c>
      <c r="D124" s="154"/>
      <c r="E124" s="154" t="s">
        <v>460</v>
      </c>
      <c r="F124" s="154" t="s">
        <v>455</v>
      </c>
      <c r="G124" s="154"/>
    </row>
    <row r="125" spans="2:7" ht="26.25" thickBot="1">
      <c r="B125" s="153" t="s">
        <v>466</v>
      </c>
      <c r="C125" s="154" t="s">
        <v>454</v>
      </c>
      <c r="D125" s="154"/>
      <c r="E125" s="154" t="s">
        <v>460</v>
      </c>
      <c r="F125" s="154" t="s">
        <v>455</v>
      </c>
      <c r="G125" s="154"/>
    </row>
    <row r="126" spans="2:7" ht="26.25" thickBot="1">
      <c r="B126" s="153" t="s">
        <v>470</v>
      </c>
      <c r="C126" s="154" t="s">
        <v>454</v>
      </c>
      <c r="D126" s="154"/>
      <c r="E126" s="154" t="s">
        <v>463</v>
      </c>
      <c r="F126" s="154" t="s">
        <v>469</v>
      </c>
      <c r="G126" s="154"/>
    </row>
    <row r="127" spans="2:7" ht="26.25" thickBot="1">
      <c r="B127" s="153" t="s">
        <v>489</v>
      </c>
      <c r="C127" s="154" t="s">
        <v>454</v>
      </c>
      <c r="D127" s="154"/>
      <c r="E127" s="154" t="s">
        <v>463</v>
      </c>
      <c r="F127" s="154" t="s">
        <v>469</v>
      </c>
      <c r="G127" s="154"/>
    </row>
    <row r="130" spans="2:7" ht="16.5">
      <c r="B130" s="7" t="s">
        <v>490</v>
      </c>
    </row>
    <row r="131" spans="2:7" ht="17.25" thickBot="1">
      <c r="B131" s="1"/>
    </row>
    <row r="132" spans="2:7" ht="64.5" thickBot="1">
      <c r="B132" s="118" t="s">
        <v>171</v>
      </c>
      <c r="C132" s="118" t="s">
        <v>172</v>
      </c>
      <c r="D132" s="118" t="s">
        <v>173</v>
      </c>
      <c r="E132" s="118" t="s">
        <v>174</v>
      </c>
      <c r="F132" s="120" t="s">
        <v>343</v>
      </c>
      <c r="G132" s="120" t="s">
        <v>344</v>
      </c>
    </row>
    <row r="133" spans="2:7" ht="15.75" thickBot="1">
      <c r="B133" s="9">
        <v>1</v>
      </c>
      <c r="C133" s="113">
        <v>2</v>
      </c>
      <c r="D133" s="113">
        <v>3</v>
      </c>
      <c r="E133" s="113">
        <v>4</v>
      </c>
      <c r="F133" s="113">
        <v>5</v>
      </c>
      <c r="G133" s="113">
        <v>6</v>
      </c>
    </row>
    <row r="134" spans="2:7" ht="26.25" thickBot="1">
      <c r="B134" s="153" t="s">
        <v>482</v>
      </c>
      <c r="C134" s="154" t="s">
        <v>454</v>
      </c>
      <c r="D134" s="154"/>
      <c r="E134" s="154"/>
      <c r="F134" s="154" t="s">
        <v>455</v>
      </c>
      <c r="G134" s="154"/>
    </row>
    <row r="135" spans="2:7" ht="26.25" thickBot="1">
      <c r="B135" s="153" t="s">
        <v>458</v>
      </c>
      <c r="C135" s="154" t="s">
        <v>454</v>
      </c>
      <c r="D135" s="154"/>
      <c r="E135" s="154" t="s">
        <v>460</v>
      </c>
      <c r="F135" s="154" t="s">
        <v>455</v>
      </c>
      <c r="G135" s="154"/>
    </row>
    <row r="136" spans="2:7" ht="26.25" thickBot="1">
      <c r="B136" s="153" t="s">
        <v>491</v>
      </c>
      <c r="C136" s="154" t="s">
        <v>459</v>
      </c>
      <c r="D136" s="154"/>
      <c r="E136" s="154" t="s">
        <v>463</v>
      </c>
      <c r="F136" s="154" t="s">
        <v>455</v>
      </c>
      <c r="G136" s="154"/>
    </row>
    <row r="137" spans="2:7" ht="26.25" thickBot="1">
      <c r="B137" s="153" t="s">
        <v>492</v>
      </c>
      <c r="C137" s="154" t="s">
        <v>493</v>
      </c>
      <c r="D137" s="154"/>
      <c r="E137" s="154" t="s">
        <v>463</v>
      </c>
      <c r="F137" s="154" t="s">
        <v>455</v>
      </c>
      <c r="G137" s="154"/>
    </row>
    <row r="138" spans="2:7" ht="26.25" thickBot="1">
      <c r="B138" s="153" t="s">
        <v>494</v>
      </c>
      <c r="C138" s="154" t="s">
        <v>467</v>
      </c>
      <c r="D138" s="154"/>
      <c r="E138" s="154" t="s">
        <v>463</v>
      </c>
      <c r="F138" s="154" t="s">
        <v>455</v>
      </c>
      <c r="G138" s="154"/>
    </row>
    <row r="139" spans="2:7" ht="26.25" thickBot="1">
      <c r="B139" s="153" t="s">
        <v>495</v>
      </c>
      <c r="C139" s="154" t="s">
        <v>454</v>
      </c>
      <c r="D139" s="154"/>
      <c r="E139" s="154" t="s">
        <v>460</v>
      </c>
      <c r="F139" s="154" t="s">
        <v>455</v>
      </c>
      <c r="G139" s="154"/>
    </row>
    <row r="140" spans="2:7" ht="26.25" thickBot="1">
      <c r="B140" s="153" t="s">
        <v>496</v>
      </c>
      <c r="C140" s="154" t="s">
        <v>454</v>
      </c>
      <c r="D140" s="154"/>
      <c r="E140" s="154" t="s">
        <v>463</v>
      </c>
      <c r="F140" s="154" t="s">
        <v>469</v>
      </c>
      <c r="G140" s="154"/>
    </row>
    <row r="143" spans="2:7" ht="16.5">
      <c r="B143" s="7" t="s">
        <v>497</v>
      </c>
    </row>
    <row r="144" spans="2:7" ht="17.25" thickBot="1">
      <c r="B144" s="1"/>
    </row>
    <row r="145" spans="2:7" ht="64.5" thickBot="1">
      <c r="B145" s="118" t="s">
        <v>171</v>
      </c>
      <c r="C145" s="118" t="s">
        <v>172</v>
      </c>
      <c r="D145" s="118" t="s">
        <v>173</v>
      </c>
      <c r="E145" s="118" t="s">
        <v>174</v>
      </c>
      <c r="F145" s="120" t="s">
        <v>343</v>
      </c>
      <c r="G145" s="120" t="s">
        <v>344</v>
      </c>
    </row>
    <row r="146" spans="2:7" ht="15.75" thickBot="1">
      <c r="B146" s="9">
        <v>1</v>
      </c>
      <c r="C146" s="113">
        <v>2</v>
      </c>
      <c r="D146" s="113">
        <v>3</v>
      </c>
      <c r="E146" s="113">
        <v>4</v>
      </c>
      <c r="F146" s="113">
        <v>5</v>
      </c>
      <c r="G146" s="113">
        <v>6</v>
      </c>
    </row>
    <row r="147" spans="2:7" ht="26.25" thickBot="1">
      <c r="B147" s="153" t="s">
        <v>482</v>
      </c>
      <c r="C147" s="154" t="s">
        <v>454</v>
      </c>
      <c r="D147" s="154"/>
      <c r="E147" s="154"/>
      <c r="F147" s="154" t="s">
        <v>455</v>
      </c>
      <c r="G147" s="154"/>
    </row>
    <row r="148" spans="2:7" ht="26.25" thickBot="1">
      <c r="B148" s="153" t="s">
        <v>456</v>
      </c>
      <c r="C148" s="154" t="s">
        <v>454</v>
      </c>
      <c r="D148" s="154"/>
      <c r="E148" s="154" t="s">
        <v>457</v>
      </c>
      <c r="F148" s="154" t="s">
        <v>455</v>
      </c>
      <c r="G148" s="154"/>
    </row>
    <row r="149" spans="2:7" ht="26.25" thickBot="1">
      <c r="B149" s="153" t="s">
        <v>458</v>
      </c>
      <c r="C149" s="154" t="s">
        <v>467</v>
      </c>
      <c r="D149" s="154"/>
      <c r="E149" s="154" t="s">
        <v>460</v>
      </c>
      <c r="F149" s="154" t="s">
        <v>455</v>
      </c>
      <c r="G149" s="154"/>
    </row>
    <row r="150" spans="2:7" ht="26.25" thickBot="1">
      <c r="B150" s="153" t="s">
        <v>461</v>
      </c>
      <c r="C150" s="154" t="s">
        <v>462</v>
      </c>
      <c r="D150" s="154"/>
      <c r="E150" s="154" t="s">
        <v>463</v>
      </c>
      <c r="F150" s="154" t="s">
        <v>455</v>
      </c>
      <c r="G150" s="154"/>
    </row>
    <row r="151" spans="2:7" ht="26.25" thickBot="1">
      <c r="B151" s="153" t="s">
        <v>464</v>
      </c>
      <c r="C151" s="154" t="s">
        <v>467</v>
      </c>
      <c r="D151" s="154"/>
      <c r="E151" s="154" t="s">
        <v>463</v>
      </c>
      <c r="F151" s="154" t="s">
        <v>455</v>
      </c>
      <c r="G151" s="154"/>
    </row>
    <row r="152" spans="2:7" ht="26.25" thickBot="1">
      <c r="B152" s="153" t="s">
        <v>474</v>
      </c>
      <c r="C152" s="154" t="s">
        <v>454</v>
      </c>
      <c r="D152" s="154"/>
      <c r="E152" s="154" t="s">
        <v>463</v>
      </c>
      <c r="F152" s="154" t="s">
        <v>455</v>
      </c>
      <c r="G152" s="154"/>
    </row>
    <row r="153" spans="2:7" ht="26.25" thickBot="1">
      <c r="B153" s="153" t="s">
        <v>475</v>
      </c>
      <c r="C153" s="154" t="s">
        <v>454</v>
      </c>
      <c r="D153" s="154"/>
      <c r="E153" s="154" t="s">
        <v>460</v>
      </c>
      <c r="F153" s="154" t="s">
        <v>455</v>
      </c>
      <c r="G153" s="154"/>
    </row>
    <row r="154" spans="2:7" ht="26.25" thickBot="1">
      <c r="B154" s="153" t="s">
        <v>466</v>
      </c>
      <c r="C154" s="154" t="s">
        <v>467</v>
      </c>
      <c r="D154" s="154"/>
      <c r="E154" s="154" t="s">
        <v>460</v>
      </c>
      <c r="F154" s="154" t="s">
        <v>455</v>
      </c>
      <c r="G154" s="154"/>
    </row>
    <row r="155" spans="2:7" ht="26.25" thickBot="1">
      <c r="B155" s="153" t="s">
        <v>498</v>
      </c>
      <c r="C155" s="154" t="s">
        <v>454</v>
      </c>
      <c r="D155" s="154"/>
      <c r="E155" s="154" t="s">
        <v>499</v>
      </c>
      <c r="F155" s="154" t="s">
        <v>469</v>
      </c>
      <c r="G155" s="154"/>
    </row>
    <row r="156" spans="2:7" ht="26.25" thickBot="1">
      <c r="B156" s="153" t="s">
        <v>500</v>
      </c>
      <c r="C156" s="154" t="s">
        <v>454</v>
      </c>
      <c r="D156" s="154"/>
      <c r="E156" s="154" t="s">
        <v>463</v>
      </c>
      <c r="F156" s="154" t="s">
        <v>469</v>
      </c>
      <c r="G156" s="154"/>
    </row>
    <row r="157" spans="2:7" ht="26.25" thickBot="1">
      <c r="B157" s="153" t="s">
        <v>477</v>
      </c>
      <c r="C157" s="154" t="s">
        <v>454</v>
      </c>
      <c r="D157" s="154"/>
      <c r="E157" s="154" t="s">
        <v>463</v>
      </c>
      <c r="F157" s="154" t="s">
        <v>469</v>
      </c>
      <c r="G157" s="154"/>
    </row>
    <row r="163" spans="2:2">
      <c r="B163" t="s">
        <v>664</v>
      </c>
    </row>
    <row r="164" spans="2:2">
      <c r="B164" t="s">
        <v>665</v>
      </c>
    </row>
    <row r="165" spans="2:2">
      <c r="B165" t="s">
        <v>666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U114"/>
  <sheetViews>
    <sheetView tabSelected="1" topLeftCell="A64" zoomScale="80" zoomScaleNormal="80" workbookViewId="0">
      <selection activeCell="K103" sqref="K103"/>
    </sheetView>
  </sheetViews>
  <sheetFormatPr defaultRowHeight="15"/>
  <cols>
    <col min="1" max="1" width="2.85546875" customWidth="1"/>
    <col min="2" max="2" width="15.42578125" customWidth="1"/>
    <col min="3" max="3" width="21.140625" customWidth="1"/>
    <col min="4" max="4" width="25.7109375" customWidth="1"/>
    <col min="5" max="5" width="15" customWidth="1"/>
    <col min="6" max="6" width="23.28515625" customWidth="1"/>
    <col min="7" max="8" width="13.5703125" customWidth="1"/>
    <col min="9" max="9" width="12.42578125" customWidth="1"/>
    <col min="10" max="10" width="10.85546875" customWidth="1"/>
    <col min="11" max="11" width="17.5703125" customWidth="1"/>
    <col min="12" max="12" width="13.85546875" customWidth="1"/>
    <col min="13" max="15" width="16.28515625" customWidth="1"/>
    <col min="19" max="19" width="14.140625" customWidth="1"/>
    <col min="20" max="20" width="11" customWidth="1"/>
    <col min="21" max="21" width="20" customWidth="1"/>
    <col min="22" max="22" width="19" customWidth="1"/>
    <col min="23" max="23" width="13.28515625" customWidth="1"/>
  </cols>
  <sheetData>
    <row r="3" spans="1:21" ht="16.5">
      <c r="B3" s="1"/>
      <c r="U3" s="13" t="s">
        <v>175</v>
      </c>
    </row>
    <row r="4" spans="1:21" ht="16.5">
      <c r="K4" s="7" t="s">
        <v>176</v>
      </c>
    </row>
    <row r="5" spans="1:21" ht="16.5">
      <c r="B5" s="1"/>
    </row>
    <row r="6" spans="1:21" ht="16.5">
      <c r="B6" s="21" t="s">
        <v>501</v>
      </c>
    </row>
    <row r="7" spans="1:21" ht="16.5">
      <c r="B7" s="21" t="s">
        <v>537</v>
      </c>
    </row>
    <row r="8" spans="1:21" ht="15.75" thickBot="1"/>
    <row r="9" spans="1:21" ht="15.75" thickBot="1">
      <c r="B9" s="304" t="s">
        <v>341</v>
      </c>
      <c r="C9" s="304" t="s">
        <v>342</v>
      </c>
      <c r="D9" s="304" t="s">
        <v>361</v>
      </c>
      <c r="E9" s="304" t="s">
        <v>360</v>
      </c>
      <c r="F9" s="304" t="s">
        <v>336</v>
      </c>
      <c r="G9" s="304" t="s">
        <v>355</v>
      </c>
      <c r="H9" s="304" t="s">
        <v>362</v>
      </c>
      <c r="I9" s="304" t="s">
        <v>356</v>
      </c>
      <c r="J9" s="304" t="s">
        <v>357</v>
      </c>
      <c r="K9" s="308" t="s">
        <v>177</v>
      </c>
      <c r="L9" s="316"/>
      <c r="M9" s="316"/>
      <c r="N9" s="316"/>
      <c r="O9" s="316"/>
      <c r="P9" s="316"/>
      <c r="Q9" s="316"/>
      <c r="R9" s="316"/>
      <c r="S9" s="316"/>
      <c r="T9" s="316"/>
      <c r="U9" s="309"/>
    </row>
    <row r="10" spans="1:21" ht="81.75" customHeight="1" thickBot="1">
      <c r="B10" s="305"/>
      <c r="C10" s="305"/>
      <c r="D10" s="310"/>
      <c r="E10" s="305"/>
      <c r="F10" s="305"/>
      <c r="G10" s="305"/>
      <c r="H10" s="305"/>
      <c r="I10" s="305"/>
      <c r="J10" s="305"/>
      <c r="K10" s="78" t="s">
        <v>178</v>
      </c>
      <c r="L10" s="78" t="s">
        <v>179</v>
      </c>
      <c r="M10" s="77" t="s">
        <v>339</v>
      </c>
      <c r="N10" s="77" t="s">
        <v>340</v>
      </c>
      <c r="O10" s="87" t="s">
        <v>374</v>
      </c>
      <c r="P10" s="78" t="s">
        <v>180</v>
      </c>
      <c r="Q10" s="77" t="s">
        <v>337</v>
      </c>
      <c r="R10" s="77" t="s">
        <v>338</v>
      </c>
      <c r="S10" s="78" t="s">
        <v>181</v>
      </c>
      <c r="T10" s="78" t="s">
        <v>182</v>
      </c>
      <c r="U10" s="78" t="s">
        <v>183</v>
      </c>
    </row>
    <row r="11" spans="1:21" ht="15.75" thickBot="1">
      <c r="B11" s="202">
        <v>1</v>
      </c>
      <c r="C11" s="203">
        <v>2</v>
      </c>
      <c r="D11" s="203">
        <v>3</v>
      </c>
      <c r="E11" s="203">
        <v>4</v>
      </c>
      <c r="F11" s="203">
        <v>5</v>
      </c>
      <c r="G11" s="203">
        <v>6</v>
      </c>
      <c r="H11" s="203">
        <v>7</v>
      </c>
      <c r="I11" s="203">
        <v>8</v>
      </c>
      <c r="J11" s="203">
        <v>9</v>
      </c>
      <c r="K11" s="203">
        <v>10</v>
      </c>
      <c r="L11" s="203">
        <v>11</v>
      </c>
      <c r="M11" s="203">
        <v>12</v>
      </c>
      <c r="N11" s="203">
        <v>13</v>
      </c>
      <c r="O11" s="203">
        <v>14</v>
      </c>
      <c r="P11" s="203">
        <v>15</v>
      </c>
      <c r="Q11" s="203">
        <v>16</v>
      </c>
      <c r="R11" s="203">
        <v>17</v>
      </c>
      <c r="S11" s="203">
        <v>18</v>
      </c>
      <c r="T11" s="203">
        <v>19</v>
      </c>
      <c r="U11" s="203">
        <v>20</v>
      </c>
    </row>
    <row r="12" spans="1:21">
      <c r="A12" s="262">
        <v>1</v>
      </c>
      <c r="B12" s="209" t="s">
        <v>502</v>
      </c>
      <c r="C12" s="210">
        <v>7464</v>
      </c>
      <c r="D12" s="277" t="s">
        <v>503</v>
      </c>
      <c r="E12" s="211" t="s">
        <v>394</v>
      </c>
      <c r="F12" s="212" t="s">
        <v>532</v>
      </c>
      <c r="G12" s="213">
        <v>55</v>
      </c>
      <c r="H12" s="211">
        <v>2900</v>
      </c>
      <c r="I12" s="214" t="s">
        <v>603</v>
      </c>
      <c r="J12" s="214"/>
      <c r="K12" s="210">
        <v>-10.5</v>
      </c>
      <c r="L12" s="210">
        <v>2</v>
      </c>
      <c r="M12" s="210">
        <v>315</v>
      </c>
      <c r="N12" s="214"/>
      <c r="O12" s="214"/>
      <c r="P12" s="210">
        <v>315</v>
      </c>
      <c r="Q12" s="210">
        <v>50</v>
      </c>
      <c r="R12" s="210">
        <v>85</v>
      </c>
      <c r="S12" s="213">
        <v>55</v>
      </c>
      <c r="T12" s="210">
        <v>7464</v>
      </c>
      <c r="U12" s="285">
        <f>L12*S12*T12*R12/100</f>
        <v>697884</v>
      </c>
    </row>
    <row r="13" spans="1:21">
      <c r="A13" s="262">
        <v>1</v>
      </c>
      <c r="B13" s="215" t="s">
        <v>502</v>
      </c>
      <c r="C13" s="204">
        <v>7464</v>
      </c>
      <c r="D13" s="278" t="s">
        <v>503</v>
      </c>
      <c r="E13" s="205" t="s">
        <v>394</v>
      </c>
      <c r="F13" s="206" t="s">
        <v>532</v>
      </c>
      <c r="G13" s="207">
        <v>55</v>
      </c>
      <c r="H13" s="205">
        <v>2900</v>
      </c>
      <c r="I13" s="208" t="s">
        <v>603</v>
      </c>
      <c r="J13" s="208"/>
      <c r="K13" s="204">
        <v>-10.5</v>
      </c>
      <c r="L13" s="204">
        <v>2</v>
      </c>
      <c r="M13" s="204">
        <v>315</v>
      </c>
      <c r="N13" s="208"/>
      <c r="O13" s="208"/>
      <c r="P13" s="204">
        <v>315</v>
      </c>
      <c r="Q13" s="204">
        <v>50</v>
      </c>
      <c r="R13" s="204">
        <v>85</v>
      </c>
      <c r="S13" s="207">
        <v>55</v>
      </c>
      <c r="T13" s="204">
        <v>7464</v>
      </c>
      <c r="U13" s="286">
        <f>L13*S13*T13*R13/100</f>
        <v>697884</v>
      </c>
    </row>
    <row r="14" spans="1:21">
      <c r="A14" s="262">
        <v>1</v>
      </c>
      <c r="B14" s="215" t="s">
        <v>502</v>
      </c>
      <c r="C14" s="204">
        <v>7464</v>
      </c>
      <c r="D14" s="278" t="s">
        <v>503</v>
      </c>
      <c r="E14" s="205" t="s">
        <v>394</v>
      </c>
      <c r="F14" s="206" t="s">
        <v>532</v>
      </c>
      <c r="G14" s="207">
        <v>55</v>
      </c>
      <c r="H14" s="205">
        <v>2900</v>
      </c>
      <c r="I14" s="208" t="s">
        <v>603</v>
      </c>
      <c r="J14" s="208"/>
      <c r="K14" s="204">
        <v>-10.5</v>
      </c>
      <c r="L14" s="204">
        <v>2</v>
      </c>
      <c r="M14" s="204">
        <v>315</v>
      </c>
      <c r="N14" s="208"/>
      <c r="O14" s="208"/>
      <c r="P14" s="204">
        <v>315</v>
      </c>
      <c r="Q14" s="204">
        <v>50</v>
      </c>
      <c r="R14" s="204">
        <v>85</v>
      </c>
      <c r="S14" s="207">
        <v>55</v>
      </c>
      <c r="T14" s="204">
        <v>7464</v>
      </c>
      <c r="U14" s="286">
        <f>L14*S14*T14*R14/100</f>
        <v>697884</v>
      </c>
    </row>
    <row r="15" spans="1:21">
      <c r="A15" s="262">
        <v>1</v>
      </c>
      <c r="B15" s="215" t="s">
        <v>502</v>
      </c>
      <c r="C15" s="204">
        <v>7464</v>
      </c>
      <c r="D15" s="278" t="s">
        <v>632</v>
      </c>
      <c r="E15" s="205" t="s">
        <v>394</v>
      </c>
      <c r="F15" s="222" t="s">
        <v>631</v>
      </c>
      <c r="G15" s="207">
        <v>7.5</v>
      </c>
      <c r="H15" s="205">
        <v>2900</v>
      </c>
      <c r="I15" s="208" t="s">
        <v>603</v>
      </c>
      <c r="J15" s="208"/>
      <c r="K15" s="204">
        <v>-10.5</v>
      </c>
      <c r="L15" s="204">
        <v>2</v>
      </c>
      <c r="M15" s="204">
        <v>80</v>
      </c>
      <c r="N15" s="208"/>
      <c r="O15" s="208"/>
      <c r="P15" s="204">
        <v>50</v>
      </c>
      <c r="Q15" s="204">
        <v>32</v>
      </c>
      <c r="R15" s="204">
        <v>65</v>
      </c>
      <c r="S15" s="207">
        <v>7.5</v>
      </c>
      <c r="T15" s="204">
        <v>7464</v>
      </c>
      <c r="U15" s="286">
        <f t="shared" ref="U15:U16" si="0">L15*S15*T15*R15/100</f>
        <v>72774</v>
      </c>
    </row>
    <row r="16" spans="1:21">
      <c r="A16" s="262">
        <v>1</v>
      </c>
      <c r="B16" s="215" t="s">
        <v>502</v>
      </c>
      <c r="C16" s="204">
        <v>7464</v>
      </c>
      <c r="D16" s="278" t="s">
        <v>632</v>
      </c>
      <c r="E16" s="205" t="s">
        <v>394</v>
      </c>
      <c r="F16" s="222" t="s">
        <v>631</v>
      </c>
      <c r="G16" s="207">
        <v>7.5</v>
      </c>
      <c r="H16" s="205">
        <v>2900</v>
      </c>
      <c r="I16" s="208" t="s">
        <v>603</v>
      </c>
      <c r="J16" s="208"/>
      <c r="K16" s="204">
        <v>-10.5</v>
      </c>
      <c r="L16" s="204">
        <v>2</v>
      </c>
      <c r="M16" s="204">
        <v>80</v>
      </c>
      <c r="N16" s="208"/>
      <c r="O16" s="208"/>
      <c r="P16" s="204">
        <v>50</v>
      </c>
      <c r="Q16" s="204">
        <v>32</v>
      </c>
      <c r="R16" s="204">
        <v>65</v>
      </c>
      <c r="S16" s="207">
        <v>7.5</v>
      </c>
      <c r="T16" s="204">
        <v>7464</v>
      </c>
      <c r="U16" s="286">
        <f t="shared" si="0"/>
        <v>72774</v>
      </c>
    </row>
    <row r="17" spans="1:21" ht="15.75" customHeight="1">
      <c r="A17" s="262">
        <v>1</v>
      </c>
      <c r="B17" s="215" t="s">
        <v>502</v>
      </c>
      <c r="C17" s="204">
        <v>8448</v>
      </c>
      <c r="D17" s="278" t="s">
        <v>504</v>
      </c>
      <c r="E17" s="205"/>
      <c r="F17" s="199" t="s">
        <v>605</v>
      </c>
      <c r="G17" s="225">
        <v>2.1</v>
      </c>
      <c r="H17" s="205">
        <v>1400</v>
      </c>
      <c r="I17" s="208" t="s">
        <v>603</v>
      </c>
      <c r="J17" s="208"/>
      <c r="K17" s="204"/>
      <c r="L17" s="204">
        <v>1</v>
      </c>
      <c r="M17" s="204">
        <v>80</v>
      </c>
      <c r="N17" s="208"/>
      <c r="O17" s="208"/>
      <c r="P17" s="204">
        <v>0.6</v>
      </c>
      <c r="Q17" s="204" t="s">
        <v>538</v>
      </c>
      <c r="R17" s="204">
        <v>90</v>
      </c>
      <c r="S17" s="225">
        <v>2.1</v>
      </c>
      <c r="T17" s="204">
        <v>8448</v>
      </c>
      <c r="U17" s="286">
        <f t="shared" ref="U17:U93" si="1">L17*S17*T17*R17/100</f>
        <v>15966.72</v>
      </c>
    </row>
    <row r="18" spans="1:21" ht="15.75" customHeight="1">
      <c r="A18" s="262">
        <v>1</v>
      </c>
      <c r="B18" s="215" t="s">
        <v>502</v>
      </c>
      <c r="C18" s="204">
        <v>8448</v>
      </c>
      <c r="D18" s="278" t="s">
        <v>504</v>
      </c>
      <c r="E18" s="205"/>
      <c r="F18" s="199" t="s">
        <v>605</v>
      </c>
      <c r="G18" s="225">
        <v>2.1</v>
      </c>
      <c r="H18" s="205">
        <v>1400</v>
      </c>
      <c r="I18" s="208" t="s">
        <v>603</v>
      </c>
      <c r="J18" s="208"/>
      <c r="K18" s="204"/>
      <c r="L18" s="204">
        <v>1</v>
      </c>
      <c r="M18" s="204">
        <v>80</v>
      </c>
      <c r="N18" s="208"/>
      <c r="O18" s="208"/>
      <c r="P18" s="204">
        <v>0.6</v>
      </c>
      <c r="Q18" s="204" t="s">
        <v>538</v>
      </c>
      <c r="R18" s="204">
        <v>90</v>
      </c>
      <c r="S18" s="225">
        <v>2.1</v>
      </c>
      <c r="T18" s="204">
        <v>8448</v>
      </c>
      <c r="U18" s="286">
        <f t="shared" ref="U18" si="2">L18*S18*T18*R18/100</f>
        <v>15966.72</v>
      </c>
    </row>
    <row r="19" spans="1:21" ht="15.75" customHeight="1">
      <c r="A19" s="262">
        <v>1</v>
      </c>
      <c r="B19" s="215" t="s">
        <v>502</v>
      </c>
      <c r="C19" s="204">
        <v>8448</v>
      </c>
      <c r="D19" s="278" t="s">
        <v>505</v>
      </c>
      <c r="E19" s="205" t="s">
        <v>539</v>
      </c>
      <c r="F19" s="199" t="s">
        <v>610</v>
      </c>
      <c r="G19" s="207">
        <v>2.2000000000000002</v>
      </c>
      <c r="H19" s="205">
        <v>1450</v>
      </c>
      <c r="I19" s="208" t="s">
        <v>603</v>
      </c>
      <c r="J19" s="208"/>
      <c r="K19" s="204"/>
      <c r="L19" s="204">
        <v>1</v>
      </c>
      <c r="M19" s="204">
        <v>80</v>
      </c>
      <c r="N19" s="208"/>
      <c r="O19" s="208"/>
      <c r="P19" s="204">
        <v>44.1</v>
      </c>
      <c r="Q19" s="204">
        <v>9.6999999999999993</v>
      </c>
      <c r="R19" s="204">
        <v>80</v>
      </c>
      <c r="S19" s="207">
        <v>2.2000000000000002</v>
      </c>
      <c r="T19" s="204">
        <v>8448</v>
      </c>
      <c r="U19" s="286">
        <f t="shared" si="1"/>
        <v>14868.480000000003</v>
      </c>
    </row>
    <row r="20" spans="1:21" ht="15.75" customHeight="1">
      <c r="A20" s="262">
        <v>1</v>
      </c>
      <c r="B20" s="215" t="s">
        <v>502</v>
      </c>
      <c r="C20" s="204">
        <v>8448</v>
      </c>
      <c r="D20" s="278" t="s">
        <v>505</v>
      </c>
      <c r="E20" s="205" t="s">
        <v>539</v>
      </c>
      <c r="F20" s="199" t="s">
        <v>610</v>
      </c>
      <c r="G20" s="207">
        <v>2.2000000000000002</v>
      </c>
      <c r="H20" s="205">
        <v>1450</v>
      </c>
      <c r="I20" s="208" t="s">
        <v>603</v>
      </c>
      <c r="J20" s="208"/>
      <c r="K20" s="204"/>
      <c r="L20" s="204">
        <v>1</v>
      </c>
      <c r="M20" s="204">
        <v>80</v>
      </c>
      <c r="N20" s="208"/>
      <c r="O20" s="208"/>
      <c r="P20" s="204">
        <v>44.1</v>
      </c>
      <c r="Q20" s="204">
        <v>9.6999999999999993</v>
      </c>
      <c r="R20" s="204">
        <v>80</v>
      </c>
      <c r="S20" s="207">
        <v>2.2000000000000002</v>
      </c>
      <c r="T20" s="204">
        <v>8448</v>
      </c>
      <c r="U20" s="286">
        <f t="shared" ref="U20" si="3">L20*S20*T20*R20/100</f>
        <v>14868.480000000003</v>
      </c>
    </row>
    <row r="21" spans="1:21" ht="15.75" customHeight="1">
      <c r="A21" s="262">
        <v>1</v>
      </c>
      <c r="B21" s="215" t="s">
        <v>502</v>
      </c>
      <c r="C21" s="204">
        <v>8448</v>
      </c>
      <c r="D21" s="278" t="s">
        <v>506</v>
      </c>
      <c r="E21" s="205" t="s">
        <v>539</v>
      </c>
      <c r="F21" s="199" t="s">
        <v>608</v>
      </c>
      <c r="G21" s="207">
        <v>18.5</v>
      </c>
      <c r="H21" s="205">
        <v>2980</v>
      </c>
      <c r="I21" s="208" t="s">
        <v>604</v>
      </c>
      <c r="J21" s="208">
        <v>97</v>
      </c>
      <c r="K21" s="204"/>
      <c r="L21" s="204">
        <v>1</v>
      </c>
      <c r="M21" s="204"/>
      <c r="N21" s="208"/>
      <c r="O21" s="208"/>
      <c r="P21" s="204">
        <v>57.8</v>
      </c>
      <c r="Q21" s="204">
        <v>72</v>
      </c>
      <c r="R21" s="204">
        <v>80</v>
      </c>
      <c r="S21" s="207">
        <v>18.5</v>
      </c>
      <c r="T21" s="204">
        <v>8448</v>
      </c>
      <c r="U21" s="286">
        <f t="shared" si="1"/>
        <v>125030.39999999999</v>
      </c>
    </row>
    <row r="22" spans="1:21" ht="15.75" customHeight="1">
      <c r="A22" s="262">
        <v>1</v>
      </c>
      <c r="B22" s="215" t="s">
        <v>502</v>
      </c>
      <c r="C22" s="204">
        <v>8448</v>
      </c>
      <c r="D22" s="278" t="s">
        <v>506</v>
      </c>
      <c r="E22" s="205" t="s">
        <v>539</v>
      </c>
      <c r="F22" s="199" t="s">
        <v>608</v>
      </c>
      <c r="G22" s="207">
        <v>18.5</v>
      </c>
      <c r="H22" s="205">
        <v>2980</v>
      </c>
      <c r="I22" s="208" t="s">
        <v>604</v>
      </c>
      <c r="J22" s="208">
        <v>97</v>
      </c>
      <c r="K22" s="204"/>
      <c r="L22" s="204">
        <v>1</v>
      </c>
      <c r="M22" s="204"/>
      <c r="N22" s="208"/>
      <c r="O22" s="208"/>
      <c r="P22" s="204">
        <v>57.8</v>
      </c>
      <c r="Q22" s="204">
        <v>72</v>
      </c>
      <c r="R22" s="204">
        <v>80</v>
      </c>
      <c r="S22" s="207">
        <v>18.5</v>
      </c>
      <c r="T22" s="204">
        <v>8448</v>
      </c>
      <c r="U22" s="286">
        <f t="shared" ref="U22" si="4">L22*S22*T22*R22/100</f>
        <v>125030.39999999999</v>
      </c>
    </row>
    <row r="23" spans="1:21" ht="15.75" customHeight="1">
      <c r="A23" s="262">
        <v>1</v>
      </c>
      <c r="B23" s="215" t="s">
        <v>502</v>
      </c>
      <c r="C23" s="204">
        <v>8448</v>
      </c>
      <c r="D23" s="278" t="s">
        <v>507</v>
      </c>
      <c r="E23" s="205" t="s">
        <v>539</v>
      </c>
      <c r="F23" s="199" t="s">
        <v>609</v>
      </c>
      <c r="G23" s="207">
        <v>5.5</v>
      </c>
      <c r="H23" s="205">
        <v>2980</v>
      </c>
      <c r="I23" s="208" t="s">
        <v>604</v>
      </c>
      <c r="J23" s="208"/>
      <c r="K23" s="204"/>
      <c r="L23" s="204">
        <v>1</v>
      </c>
      <c r="M23" s="204"/>
      <c r="N23" s="208"/>
      <c r="O23" s="208"/>
      <c r="P23" s="204">
        <v>26.4</v>
      </c>
      <c r="Q23" s="204">
        <v>41</v>
      </c>
      <c r="R23" s="204">
        <v>80</v>
      </c>
      <c r="S23" s="207">
        <v>5.5</v>
      </c>
      <c r="T23" s="204">
        <v>8448</v>
      </c>
      <c r="U23" s="286">
        <f t="shared" si="1"/>
        <v>37171.199999999997</v>
      </c>
    </row>
    <row r="24" spans="1:21" ht="15.75" customHeight="1">
      <c r="A24" s="262">
        <v>1</v>
      </c>
      <c r="B24" s="215" t="s">
        <v>502</v>
      </c>
      <c r="C24" s="204">
        <v>8448</v>
      </c>
      <c r="D24" s="278" t="s">
        <v>507</v>
      </c>
      <c r="E24" s="205" t="s">
        <v>539</v>
      </c>
      <c r="F24" s="199" t="s">
        <v>609</v>
      </c>
      <c r="G24" s="207">
        <v>5.5</v>
      </c>
      <c r="H24" s="205">
        <v>2980</v>
      </c>
      <c r="I24" s="208" t="s">
        <v>604</v>
      </c>
      <c r="J24" s="208"/>
      <c r="K24" s="204"/>
      <c r="L24" s="204">
        <v>1</v>
      </c>
      <c r="M24" s="204"/>
      <c r="N24" s="208"/>
      <c r="O24" s="208"/>
      <c r="P24" s="204">
        <v>26.4</v>
      </c>
      <c r="Q24" s="204">
        <v>41</v>
      </c>
      <c r="R24" s="204">
        <v>80</v>
      </c>
      <c r="S24" s="207">
        <v>5.5</v>
      </c>
      <c r="T24" s="204">
        <v>8448</v>
      </c>
      <c r="U24" s="286">
        <f t="shared" ref="U24" si="5">L24*S24*T24*R24/100</f>
        <v>37171.199999999997</v>
      </c>
    </row>
    <row r="25" spans="1:21" ht="15.75" customHeight="1">
      <c r="A25" s="262">
        <v>1</v>
      </c>
      <c r="B25" s="215" t="s">
        <v>502</v>
      </c>
      <c r="C25" s="204">
        <v>8448</v>
      </c>
      <c r="D25" s="278" t="s">
        <v>508</v>
      </c>
      <c r="E25" s="205" t="s">
        <v>539</v>
      </c>
      <c r="F25" s="199" t="s">
        <v>606</v>
      </c>
      <c r="G25" s="207">
        <v>2.2000000000000002</v>
      </c>
      <c r="H25" s="205">
        <v>2980</v>
      </c>
      <c r="I25" s="208" t="s">
        <v>604</v>
      </c>
      <c r="J25" s="208"/>
      <c r="K25" s="204"/>
      <c r="L25" s="204">
        <v>1</v>
      </c>
      <c r="M25" s="204"/>
      <c r="N25" s="208"/>
      <c r="O25" s="208"/>
      <c r="P25" s="204">
        <v>12.1</v>
      </c>
      <c r="Q25" s="204">
        <v>33</v>
      </c>
      <c r="R25" s="204">
        <v>80</v>
      </c>
      <c r="S25" s="207">
        <v>2.2000000000000002</v>
      </c>
      <c r="T25" s="204">
        <v>8448</v>
      </c>
      <c r="U25" s="286">
        <f t="shared" si="1"/>
        <v>14868.480000000003</v>
      </c>
    </row>
    <row r="26" spans="1:21" ht="15.75" customHeight="1">
      <c r="A26" s="262">
        <v>1</v>
      </c>
      <c r="B26" s="215" t="s">
        <v>502</v>
      </c>
      <c r="C26" s="204">
        <v>8448</v>
      </c>
      <c r="D26" s="278" t="s">
        <v>508</v>
      </c>
      <c r="E26" s="205" t="s">
        <v>539</v>
      </c>
      <c r="F26" s="199" t="s">
        <v>606</v>
      </c>
      <c r="G26" s="207">
        <v>2.2000000000000002</v>
      </c>
      <c r="H26" s="205">
        <v>2980</v>
      </c>
      <c r="I26" s="208" t="s">
        <v>604</v>
      </c>
      <c r="J26" s="208"/>
      <c r="K26" s="204"/>
      <c r="L26" s="204">
        <v>1</v>
      </c>
      <c r="M26" s="204"/>
      <c r="N26" s="208"/>
      <c r="O26" s="208"/>
      <c r="P26" s="204">
        <v>12.1</v>
      </c>
      <c r="Q26" s="204">
        <v>33</v>
      </c>
      <c r="R26" s="204">
        <v>80</v>
      </c>
      <c r="S26" s="207">
        <v>2.2000000000000002</v>
      </c>
      <c r="T26" s="204">
        <v>8448</v>
      </c>
      <c r="U26" s="286">
        <f t="shared" ref="U26" si="6">L26*S26*T26*R26/100</f>
        <v>14868.480000000003</v>
      </c>
    </row>
    <row r="27" spans="1:21" ht="15.75" customHeight="1">
      <c r="A27" s="262">
        <v>1</v>
      </c>
      <c r="B27" s="215" t="s">
        <v>502</v>
      </c>
      <c r="C27" s="204">
        <v>8448</v>
      </c>
      <c r="D27" s="278" t="s">
        <v>509</v>
      </c>
      <c r="E27" s="205" t="s">
        <v>539</v>
      </c>
      <c r="F27" s="199" t="s">
        <v>607</v>
      </c>
      <c r="G27" s="207">
        <v>1.5</v>
      </c>
      <c r="H27" s="205">
        <v>2980</v>
      </c>
      <c r="I27" s="208" t="s">
        <v>604</v>
      </c>
      <c r="J27" s="208"/>
      <c r="K27" s="204"/>
      <c r="L27" s="204">
        <v>1</v>
      </c>
      <c r="M27" s="204"/>
      <c r="N27" s="208"/>
      <c r="O27" s="208"/>
      <c r="P27" s="204">
        <v>5.4</v>
      </c>
      <c r="Q27" s="204">
        <v>53</v>
      </c>
      <c r="R27" s="204">
        <v>80</v>
      </c>
      <c r="S27" s="207">
        <v>1.5</v>
      </c>
      <c r="T27" s="204">
        <v>8448</v>
      </c>
      <c r="U27" s="286">
        <f t="shared" si="1"/>
        <v>10137.6</v>
      </c>
    </row>
    <row r="28" spans="1:21" ht="15.75" customHeight="1" thickBot="1">
      <c r="A28" s="262">
        <v>1</v>
      </c>
      <c r="B28" s="216" t="s">
        <v>502</v>
      </c>
      <c r="C28" s="217">
        <v>8448</v>
      </c>
      <c r="D28" s="279" t="s">
        <v>509</v>
      </c>
      <c r="E28" s="218" t="s">
        <v>539</v>
      </c>
      <c r="F28" s="234" t="s">
        <v>607</v>
      </c>
      <c r="G28" s="220">
        <v>1.5</v>
      </c>
      <c r="H28" s="218">
        <v>2980</v>
      </c>
      <c r="I28" s="221" t="s">
        <v>604</v>
      </c>
      <c r="J28" s="221"/>
      <c r="K28" s="217"/>
      <c r="L28" s="217">
        <v>1</v>
      </c>
      <c r="M28" s="217"/>
      <c r="N28" s="221"/>
      <c r="O28" s="221"/>
      <c r="P28" s="217">
        <v>5.4</v>
      </c>
      <c r="Q28" s="217">
        <v>53</v>
      </c>
      <c r="R28" s="217">
        <v>80</v>
      </c>
      <c r="S28" s="220">
        <v>1.5</v>
      </c>
      <c r="T28" s="217">
        <v>8448</v>
      </c>
      <c r="U28" s="287">
        <f t="shared" ref="U28" si="7">L28*S28*T28*R28/100</f>
        <v>10137.6</v>
      </c>
    </row>
    <row r="29" spans="1:21" ht="15.75" customHeight="1">
      <c r="A29" s="262">
        <v>1</v>
      </c>
      <c r="B29" s="209" t="s">
        <v>510</v>
      </c>
      <c r="C29" s="210">
        <v>7464</v>
      </c>
      <c r="D29" s="277" t="s">
        <v>511</v>
      </c>
      <c r="E29" s="211" t="s">
        <v>394</v>
      </c>
      <c r="F29" s="212" t="s">
        <v>600</v>
      </c>
      <c r="G29" s="213">
        <v>37</v>
      </c>
      <c r="H29" s="211">
        <v>2960</v>
      </c>
      <c r="I29" s="214" t="s">
        <v>604</v>
      </c>
      <c r="J29" s="214"/>
      <c r="K29" s="210">
        <v>-10.5</v>
      </c>
      <c r="L29" s="210">
        <v>2</v>
      </c>
      <c r="M29" s="210">
        <v>200</v>
      </c>
      <c r="N29" s="214"/>
      <c r="O29" s="214"/>
      <c r="P29" s="210">
        <v>200</v>
      </c>
      <c r="Q29" s="210">
        <v>40</v>
      </c>
      <c r="R29" s="235">
        <v>85</v>
      </c>
      <c r="S29" s="213">
        <v>37</v>
      </c>
      <c r="T29" s="210">
        <v>7464</v>
      </c>
      <c r="U29" s="285">
        <f t="shared" si="1"/>
        <v>469485.6</v>
      </c>
    </row>
    <row r="30" spans="1:21" ht="15.75" customHeight="1">
      <c r="A30" s="262">
        <v>1</v>
      </c>
      <c r="B30" s="215" t="s">
        <v>510</v>
      </c>
      <c r="C30" s="204">
        <v>7464</v>
      </c>
      <c r="D30" s="278" t="s">
        <v>511</v>
      </c>
      <c r="E30" s="205" t="s">
        <v>394</v>
      </c>
      <c r="F30" s="206" t="s">
        <v>600</v>
      </c>
      <c r="G30" s="207">
        <v>37</v>
      </c>
      <c r="H30" s="205">
        <v>2960</v>
      </c>
      <c r="I30" s="208" t="s">
        <v>604</v>
      </c>
      <c r="J30" s="208"/>
      <c r="K30" s="204">
        <v>-10.5</v>
      </c>
      <c r="L30" s="204">
        <v>2</v>
      </c>
      <c r="M30" s="204">
        <v>200</v>
      </c>
      <c r="N30" s="208"/>
      <c r="O30" s="208"/>
      <c r="P30" s="204">
        <v>200</v>
      </c>
      <c r="Q30" s="204">
        <v>40</v>
      </c>
      <c r="R30" s="224">
        <v>85</v>
      </c>
      <c r="S30" s="207">
        <v>37</v>
      </c>
      <c r="T30" s="204">
        <v>7464</v>
      </c>
      <c r="U30" s="286">
        <f t="shared" ref="U30:U33" si="8">L30*S30*T30*R30/100</f>
        <v>469485.6</v>
      </c>
    </row>
    <row r="31" spans="1:21" ht="15.75" customHeight="1">
      <c r="A31" s="262">
        <v>1</v>
      </c>
      <c r="B31" s="215" t="s">
        <v>510</v>
      </c>
      <c r="C31" s="204">
        <v>7464</v>
      </c>
      <c r="D31" s="278" t="s">
        <v>511</v>
      </c>
      <c r="E31" s="205" t="s">
        <v>394</v>
      </c>
      <c r="F31" s="206" t="s">
        <v>600</v>
      </c>
      <c r="G31" s="207">
        <v>37</v>
      </c>
      <c r="H31" s="205">
        <v>2960</v>
      </c>
      <c r="I31" s="208" t="s">
        <v>604</v>
      </c>
      <c r="J31" s="208"/>
      <c r="K31" s="204">
        <v>-10.5</v>
      </c>
      <c r="L31" s="204">
        <v>2</v>
      </c>
      <c r="M31" s="204">
        <v>200</v>
      </c>
      <c r="N31" s="208"/>
      <c r="O31" s="208"/>
      <c r="P31" s="204">
        <v>200</v>
      </c>
      <c r="Q31" s="204">
        <v>40</v>
      </c>
      <c r="R31" s="224">
        <v>85</v>
      </c>
      <c r="S31" s="207">
        <v>37</v>
      </c>
      <c r="T31" s="204">
        <v>7464</v>
      </c>
      <c r="U31" s="286">
        <f t="shared" si="8"/>
        <v>469485.6</v>
      </c>
    </row>
    <row r="32" spans="1:21" ht="15.75" customHeight="1">
      <c r="A32" s="262">
        <v>1</v>
      </c>
      <c r="B32" s="215" t="s">
        <v>510</v>
      </c>
      <c r="C32" s="204">
        <v>7464</v>
      </c>
      <c r="D32" s="278" t="s">
        <v>632</v>
      </c>
      <c r="E32" s="205" t="s">
        <v>394</v>
      </c>
      <c r="F32" s="222" t="s">
        <v>631</v>
      </c>
      <c r="G32" s="207">
        <v>7.5</v>
      </c>
      <c r="H32" s="205">
        <v>2900</v>
      </c>
      <c r="I32" s="208" t="s">
        <v>604</v>
      </c>
      <c r="J32" s="208"/>
      <c r="K32" s="204"/>
      <c r="L32" s="204">
        <v>1</v>
      </c>
      <c r="M32" s="204">
        <v>80</v>
      </c>
      <c r="N32" s="208"/>
      <c r="O32" s="208"/>
      <c r="P32" s="204">
        <v>50</v>
      </c>
      <c r="Q32" s="204">
        <v>32</v>
      </c>
      <c r="R32" s="224">
        <v>65</v>
      </c>
      <c r="S32" s="207">
        <v>7.5</v>
      </c>
      <c r="T32" s="204">
        <v>7464</v>
      </c>
      <c r="U32" s="286">
        <f t="shared" si="8"/>
        <v>36387</v>
      </c>
    </row>
    <row r="33" spans="1:21" ht="15.75" customHeight="1">
      <c r="A33" s="262">
        <v>1</v>
      </c>
      <c r="B33" s="215" t="s">
        <v>510</v>
      </c>
      <c r="C33" s="204">
        <v>7464</v>
      </c>
      <c r="D33" s="278" t="s">
        <v>632</v>
      </c>
      <c r="E33" s="205" t="s">
        <v>394</v>
      </c>
      <c r="F33" s="222" t="s">
        <v>631</v>
      </c>
      <c r="G33" s="207">
        <v>7.5</v>
      </c>
      <c r="H33" s="205">
        <v>2900</v>
      </c>
      <c r="I33" s="208" t="s">
        <v>604</v>
      </c>
      <c r="J33" s="208"/>
      <c r="K33" s="204"/>
      <c r="L33" s="204">
        <v>1</v>
      </c>
      <c r="M33" s="204">
        <v>80</v>
      </c>
      <c r="N33" s="208"/>
      <c r="O33" s="208"/>
      <c r="P33" s="204">
        <v>50</v>
      </c>
      <c r="Q33" s="204">
        <v>32</v>
      </c>
      <c r="R33" s="224">
        <v>65</v>
      </c>
      <c r="S33" s="207">
        <v>7.5</v>
      </c>
      <c r="T33" s="204">
        <v>7464</v>
      </c>
      <c r="U33" s="286">
        <f t="shared" si="8"/>
        <v>36387</v>
      </c>
    </row>
    <row r="34" spans="1:21" ht="15.75" customHeight="1">
      <c r="A34" s="262">
        <v>1</v>
      </c>
      <c r="B34" s="215" t="s">
        <v>510</v>
      </c>
      <c r="C34" s="204">
        <v>8448</v>
      </c>
      <c r="D34" s="278" t="s">
        <v>504</v>
      </c>
      <c r="E34" s="205"/>
      <c r="F34" s="199" t="s">
        <v>613</v>
      </c>
      <c r="G34" s="225">
        <v>2.2000000000000002</v>
      </c>
      <c r="H34" s="205">
        <v>1430</v>
      </c>
      <c r="I34" s="208" t="s">
        <v>603</v>
      </c>
      <c r="J34" s="208"/>
      <c r="K34" s="204"/>
      <c r="L34" s="204">
        <v>1</v>
      </c>
      <c r="M34" s="204"/>
      <c r="N34" s="208"/>
      <c r="O34" s="208"/>
      <c r="P34" s="204">
        <v>0.6</v>
      </c>
      <c r="Q34" s="204" t="s">
        <v>538</v>
      </c>
      <c r="R34" s="204">
        <v>90</v>
      </c>
      <c r="S34" s="225">
        <v>2.2000000000000002</v>
      </c>
      <c r="T34" s="204">
        <v>8448</v>
      </c>
      <c r="U34" s="286">
        <f t="shared" si="1"/>
        <v>16727.04</v>
      </c>
    </row>
    <row r="35" spans="1:21" ht="15.75" customHeight="1">
      <c r="A35" s="262">
        <v>1</v>
      </c>
      <c r="B35" s="215" t="s">
        <v>510</v>
      </c>
      <c r="C35" s="204">
        <v>8448</v>
      </c>
      <c r="D35" s="278" t="s">
        <v>504</v>
      </c>
      <c r="E35" s="205"/>
      <c r="F35" s="199" t="s">
        <v>613</v>
      </c>
      <c r="G35" s="225">
        <v>2.2000000000000002</v>
      </c>
      <c r="H35" s="205">
        <v>1430</v>
      </c>
      <c r="I35" s="208" t="s">
        <v>603</v>
      </c>
      <c r="J35" s="208"/>
      <c r="K35" s="204"/>
      <c r="L35" s="204">
        <v>1</v>
      </c>
      <c r="M35" s="204"/>
      <c r="N35" s="208"/>
      <c r="O35" s="208"/>
      <c r="P35" s="204">
        <v>0.6</v>
      </c>
      <c r="Q35" s="204" t="s">
        <v>538</v>
      </c>
      <c r="R35" s="204">
        <v>90</v>
      </c>
      <c r="S35" s="225">
        <v>2.2000000000000002</v>
      </c>
      <c r="T35" s="204">
        <v>8448</v>
      </c>
      <c r="U35" s="286">
        <f t="shared" ref="U35" si="9">L35*S35*T35*R35/100</f>
        <v>16727.04</v>
      </c>
    </row>
    <row r="36" spans="1:21" ht="15.75" customHeight="1">
      <c r="A36" s="262">
        <v>1</v>
      </c>
      <c r="B36" s="215" t="s">
        <v>510</v>
      </c>
      <c r="C36" s="204">
        <v>8448</v>
      </c>
      <c r="D36" s="278" t="s">
        <v>512</v>
      </c>
      <c r="E36" s="205" t="s">
        <v>539</v>
      </c>
      <c r="F36" s="199" t="s">
        <v>610</v>
      </c>
      <c r="G36" s="207">
        <v>2.2000000000000002</v>
      </c>
      <c r="H36" s="205">
        <v>1450</v>
      </c>
      <c r="I36" s="208" t="s">
        <v>603</v>
      </c>
      <c r="J36" s="208"/>
      <c r="K36" s="204"/>
      <c r="L36" s="204">
        <v>1</v>
      </c>
      <c r="M36" s="204"/>
      <c r="N36" s="208"/>
      <c r="O36" s="208"/>
      <c r="P36" s="204">
        <v>36.700000000000003</v>
      </c>
      <c r="Q36" s="204">
        <v>7</v>
      </c>
      <c r="R36" s="204">
        <v>90</v>
      </c>
      <c r="S36" s="207">
        <v>2.2000000000000002</v>
      </c>
      <c r="T36" s="204">
        <v>8448</v>
      </c>
      <c r="U36" s="286">
        <f t="shared" si="1"/>
        <v>16727.04</v>
      </c>
    </row>
    <row r="37" spans="1:21" ht="15.75" customHeight="1">
      <c r="A37" s="262">
        <v>1</v>
      </c>
      <c r="B37" s="215" t="s">
        <v>510</v>
      </c>
      <c r="C37" s="204">
        <v>8448</v>
      </c>
      <c r="D37" s="278" t="s">
        <v>512</v>
      </c>
      <c r="E37" s="205" t="s">
        <v>539</v>
      </c>
      <c r="F37" s="199" t="s">
        <v>610</v>
      </c>
      <c r="G37" s="207">
        <v>2.2000000000000002</v>
      </c>
      <c r="H37" s="205">
        <v>1450</v>
      </c>
      <c r="I37" s="208" t="s">
        <v>603</v>
      </c>
      <c r="J37" s="208"/>
      <c r="K37" s="204"/>
      <c r="L37" s="204">
        <v>1</v>
      </c>
      <c r="M37" s="204"/>
      <c r="N37" s="208"/>
      <c r="O37" s="208"/>
      <c r="P37" s="204">
        <v>36.700000000000003</v>
      </c>
      <c r="Q37" s="204">
        <v>7</v>
      </c>
      <c r="R37" s="204">
        <v>90</v>
      </c>
      <c r="S37" s="207">
        <v>2.2000000000000002</v>
      </c>
      <c r="T37" s="204">
        <v>8448</v>
      </c>
      <c r="U37" s="286">
        <f t="shared" ref="U37" si="10">L37*S37*T37*R37/100</f>
        <v>16727.04</v>
      </c>
    </row>
    <row r="38" spans="1:21" ht="15.75" customHeight="1">
      <c r="A38" s="262">
        <v>1</v>
      </c>
      <c r="B38" s="215" t="s">
        <v>510</v>
      </c>
      <c r="C38" s="204">
        <v>8448</v>
      </c>
      <c r="D38" s="278" t="s">
        <v>506</v>
      </c>
      <c r="E38" s="205" t="s">
        <v>539</v>
      </c>
      <c r="F38" s="199" t="s">
        <v>608</v>
      </c>
      <c r="G38" s="226">
        <v>18.5</v>
      </c>
      <c r="H38" s="205">
        <v>2945</v>
      </c>
      <c r="I38" s="208" t="s">
        <v>604</v>
      </c>
      <c r="J38" s="208"/>
      <c r="K38" s="204"/>
      <c r="L38" s="204">
        <v>1</v>
      </c>
      <c r="M38" s="204"/>
      <c r="N38" s="208"/>
      <c r="O38" s="208"/>
      <c r="P38" s="204">
        <v>49.7</v>
      </c>
      <c r="Q38" s="204">
        <v>60</v>
      </c>
      <c r="R38" s="204">
        <v>80</v>
      </c>
      <c r="S38" s="226">
        <v>18.5</v>
      </c>
      <c r="T38" s="204">
        <v>8448</v>
      </c>
      <c r="U38" s="286">
        <f t="shared" si="1"/>
        <v>125030.39999999999</v>
      </c>
    </row>
    <row r="39" spans="1:21" ht="15.75" customHeight="1">
      <c r="A39" s="262">
        <v>1</v>
      </c>
      <c r="B39" s="215" t="s">
        <v>510</v>
      </c>
      <c r="C39" s="204">
        <v>8448</v>
      </c>
      <c r="D39" s="278" t="s">
        <v>506</v>
      </c>
      <c r="E39" s="205" t="s">
        <v>539</v>
      </c>
      <c r="F39" s="199" t="s">
        <v>608</v>
      </c>
      <c r="G39" s="226">
        <v>18.5</v>
      </c>
      <c r="H39" s="205">
        <v>2945</v>
      </c>
      <c r="I39" s="208" t="s">
        <v>604</v>
      </c>
      <c r="J39" s="208"/>
      <c r="K39" s="204"/>
      <c r="L39" s="204">
        <v>1</v>
      </c>
      <c r="M39" s="204"/>
      <c r="N39" s="208"/>
      <c r="O39" s="208"/>
      <c r="P39" s="204">
        <v>49.7</v>
      </c>
      <c r="Q39" s="204">
        <v>60</v>
      </c>
      <c r="R39" s="204">
        <v>80</v>
      </c>
      <c r="S39" s="226">
        <v>18.5</v>
      </c>
      <c r="T39" s="204">
        <v>8448</v>
      </c>
      <c r="U39" s="286">
        <f t="shared" ref="U39" si="11">L39*S39*T39*R39/100</f>
        <v>125030.39999999999</v>
      </c>
    </row>
    <row r="40" spans="1:21" ht="15.75" customHeight="1">
      <c r="A40" s="262">
        <v>1</v>
      </c>
      <c r="B40" s="215" t="s">
        <v>510</v>
      </c>
      <c r="C40" s="204">
        <v>8448</v>
      </c>
      <c r="D40" s="278" t="s">
        <v>513</v>
      </c>
      <c r="E40" s="205" t="s">
        <v>539</v>
      </c>
      <c r="F40" s="199" t="s">
        <v>611</v>
      </c>
      <c r="G40" s="207">
        <v>3</v>
      </c>
      <c r="H40" s="205">
        <v>2980</v>
      </c>
      <c r="I40" s="208" t="s">
        <v>604</v>
      </c>
      <c r="J40" s="208"/>
      <c r="K40" s="204"/>
      <c r="L40" s="204">
        <v>1</v>
      </c>
      <c r="M40" s="204"/>
      <c r="N40" s="208"/>
      <c r="O40" s="208"/>
      <c r="P40" s="204">
        <v>8.3000000000000007</v>
      </c>
      <c r="Q40" s="204">
        <v>36</v>
      </c>
      <c r="R40" s="204">
        <v>80</v>
      </c>
      <c r="S40" s="207">
        <v>3</v>
      </c>
      <c r="T40" s="204">
        <v>8448</v>
      </c>
      <c r="U40" s="286">
        <f t="shared" si="1"/>
        <v>20275.2</v>
      </c>
    </row>
    <row r="41" spans="1:21" ht="15.75" customHeight="1">
      <c r="A41" s="262">
        <v>1</v>
      </c>
      <c r="B41" s="215" t="s">
        <v>510</v>
      </c>
      <c r="C41" s="204">
        <v>8448</v>
      </c>
      <c r="D41" s="278" t="s">
        <v>513</v>
      </c>
      <c r="E41" s="205" t="s">
        <v>539</v>
      </c>
      <c r="F41" s="199" t="s">
        <v>611</v>
      </c>
      <c r="G41" s="207">
        <v>3</v>
      </c>
      <c r="H41" s="205">
        <v>2980</v>
      </c>
      <c r="I41" s="208" t="s">
        <v>604</v>
      </c>
      <c r="J41" s="208"/>
      <c r="K41" s="204"/>
      <c r="L41" s="204">
        <v>1</v>
      </c>
      <c r="M41" s="204"/>
      <c r="N41" s="208"/>
      <c r="O41" s="208"/>
      <c r="P41" s="204">
        <v>8.3000000000000007</v>
      </c>
      <c r="Q41" s="204">
        <v>36</v>
      </c>
      <c r="R41" s="204">
        <v>80</v>
      </c>
      <c r="S41" s="207">
        <v>3</v>
      </c>
      <c r="T41" s="204">
        <v>8448</v>
      </c>
      <c r="U41" s="286">
        <f t="shared" ref="U41" si="12">L41*S41*T41*R41/100</f>
        <v>20275.2</v>
      </c>
    </row>
    <row r="42" spans="1:21" ht="15.75" customHeight="1">
      <c r="A42" s="262">
        <v>1</v>
      </c>
      <c r="B42" s="215" t="s">
        <v>510</v>
      </c>
      <c r="C42" s="204">
        <v>8448</v>
      </c>
      <c r="D42" s="278" t="s">
        <v>514</v>
      </c>
      <c r="E42" s="205" t="s">
        <v>539</v>
      </c>
      <c r="F42" s="199" t="s">
        <v>612</v>
      </c>
      <c r="G42" s="207">
        <v>4</v>
      </c>
      <c r="H42" s="205">
        <v>2980</v>
      </c>
      <c r="I42" s="208" t="s">
        <v>604</v>
      </c>
      <c r="J42" s="208"/>
      <c r="K42" s="204"/>
      <c r="L42" s="204">
        <v>1</v>
      </c>
      <c r="M42" s="204"/>
      <c r="N42" s="208"/>
      <c r="O42" s="208"/>
      <c r="P42" s="204">
        <v>13.8</v>
      </c>
      <c r="Q42" s="204">
        <v>40</v>
      </c>
      <c r="R42" s="204">
        <v>80</v>
      </c>
      <c r="S42" s="207">
        <v>4</v>
      </c>
      <c r="T42" s="204">
        <v>8448</v>
      </c>
      <c r="U42" s="286">
        <f t="shared" si="1"/>
        <v>27033.599999999999</v>
      </c>
    </row>
    <row r="43" spans="1:21" ht="15.75" customHeight="1">
      <c r="A43" s="262">
        <v>1</v>
      </c>
      <c r="B43" s="215" t="s">
        <v>510</v>
      </c>
      <c r="C43" s="204">
        <v>8448</v>
      </c>
      <c r="D43" s="278" t="s">
        <v>514</v>
      </c>
      <c r="E43" s="205" t="s">
        <v>539</v>
      </c>
      <c r="F43" s="199" t="s">
        <v>612</v>
      </c>
      <c r="G43" s="207">
        <v>4</v>
      </c>
      <c r="H43" s="205">
        <v>2980</v>
      </c>
      <c r="I43" s="208" t="s">
        <v>604</v>
      </c>
      <c r="J43" s="208"/>
      <c r="K43" s="204"/>
      <c r="L43" s="204">
        <v>1</v>
      </c>
      <c r="M43" s="204"/>
      <c r="N43" s="208"/>
      <c r="O43" s="208"/>
      <c r="P43" s="204">
        <v>13.8</v>
      </c>
      <c r="Q43" s="204">
        <v>40</v>
      </c>
      <c r="R43" s="204">
        <v>80</v>
      </c>
      <c r="S43" s="207">
        <v>4</v>
      </c>
      <c r="T43" s="204">
        <v>8448</v>
      </c>
      <c r="U43" s="286">
        <f t="shared" ref="U43" si="13">L43*S43*T43*R43/100</f>
        <v>27033.599999999999</v>
      </c>
    </row>
    <row r="44" spans="1:21" ht="15.75" customHeight="1">
      <c r="A44" s="262">
        <v>1</v>
      </c>
      <c r="B44" s="215" t="s">
        <v>510</v>
      </c>
      <c r="C44" s="204">
        <v>8448</v>
      </c>
      <c r="D44" s="278" t="s">
        <v>515</v>
      </c>
      <c r="E44" s="205" t="s">
        <v>539</v>
      </c>
      <c r="F44" s="199" t="s">
        <v>607</v>
      </c>
      <c r="G44" s="207">
        <v>1.5</v>
      </c>
      <c r="H44" s="205">
        <v>2900</v>
      </c>
      <c r="I44" s="208" t="s">
        <v>604</v>
      </c>
      <c r="J44" s="208"/>
      <c r="K44" s="204"/>
      <c r="L44" s="204">
        <v>1</v>
      </c>
      <c r="M44" s="204"/>
      <c r="N44" s="208"/>
      <c r="O44" s="208"/>
      <c r="P44" s="204">
        <v>2.8</v>
      </c>
      <c r="Q44" s="204">
        <v>40</v>
      </c>
      <c r="R44" s="204">
        <v>80</v>
      </c>
      <c r="S44" s="207">
        <v>1.5</v>
      </c>
      <c r="T44" s="204">
        <v>8448</v>
      </c>
      <c r="U44" s="286">
        <f t="shared" si="1"/>
        <v>10137.6</v>
      </c>
    </row>
    <row r="45" spans="1:21" ht="15.75" customHeight="1" thickBot="1">
      <c r="A45" s="262">
        <v>1</v>
      </c>
      <c r="B45" s="216" t="s">
        <v>510</v>
      </c>
      <c r="C45" s="217">
        <v>8448</v>
      </c>
      <c r="D45" s="279" t="s">
        <v>515</v>
      </c>
      <c r="E45" s="218" t="s">
        <v>539</v>
      </c>
      <c r="F45" s="234" t="s">
        <v>607</v>
      </c>
      <c r="G45" s="220">
        <v>1.5</v>
      </c>
      <c r="H45" s="218">
        <v>2900</v>
      </c>
      <c r="I45" s="221" t="s">
        <v>604</v>
      </c>
      <c r="J45" s="221"/>
      <c r="K45" s="217"/>
      <c r="L45" s="217">
        <v>1</v>
      </c>
      <c r="M45" s="217"/>
      <c r="N45" s="221"/>
      <c r="O45" s="221"/>
      <c r="P45" s="217">
        <v>2.8</v>
      </c>
      <c r="Q45" s="217">
        <v>40</v>
      </c>
      <c r="R45" s="217">
        <v>80</v>
      </c>
      <c r="S45" s="220">
        <v>1.5</v>
      </c>
      <c r="T45" s="217">
        <v>8448</v>
      </c>
      <c r="U45" s="287">
        <f t="shared" ref="U45" si="14">L45*S45*T45*R45/100</f>
        <v>10137.6</v>
      </c>
    </row>
    <row r="46" spans="1:21" ht="15.75" customHeight="1">
      <c r="A46" s="262">
        <v>1</v>
      </c>
      <c r="B46" s="209" t="s">
        <v>516</v>
      </c>
      <c r="C46" s="210">
        <v>7464</v>
      </c>
      <c r="D46" s="277" t="s">
        <v>517</v>
      </c>
      <c r="E46" s="211" t="s">
        <v>394</v>
      </c>
      <c r="F46" s="212" t="s">
        <v>601</v>
      </c>
      <c r="G46" s="213">
        <v>30</v>
      </c>
      <c r="H46" s="211">
        <v>1450</v>
      </c>
      <c r="I46" s="214" t="s">
        <v>603</v>
      </c>
      <c r="J46" s="214"/>
      <c r="K46" s="210">
        <v>-10.5</v>
      </c>
      <c r="L46" s="210">
        <v>1</v>
      </c>
      <c r="M46" s="210">
        <v>315</v>
      </c>
      <c r="N46" s="214"/>
      <c r="O46" s="214"/>
      <c r="P46" s="210">
        <v>315</v>
      </c>
      <c r="Q46" s="210">
        <v>45.4</v>
      </c>
      <c r="R46" s="235">
        <v>85</v>
      </c>
      <c r="S46" s="213">
        <v>30</v>
      </c>
      <c r="T46" s="210">
        <v>7464</v>
      </c>
      <c r="U46" s="285">
        <f t="shared" si="1"/>
        <v>190332</v>
      </c>
    </row>
    <row r="47" spans="1:21" ht="15.75" customHeight="1">
      <c r="A47" s="262">
        <v>1</v>
      </c>
      <c r="B47" s="236" t="s">
        <v>516</v>
      </c>
      <c r="C47" s="228">
        <v>7464</v>
      </c>
      <c r="D47" s="280" t="s">
        <v>517</v>
      </c>
      <c r="E47" s="229" t="s">
        <v>394</v>
      </c>
      <c r="F47" s="230" t="s">
        <v>601</v>
      </c>
      <c r="G47" s="231">
        <v>30</v>
      </c>
      <c r="H47" s="229">
        <v>1450</v>
      </c>
      <c r="I47" s="232" t="s">
        <v>603</v>
      </c>
      <c r="J47" s="232"/>
      <c r="K47" s="228">
        <v>-10.5</v>
      </c>
      <c r="L47" s="228">
        <v>1</v>
      </c>
      <c r="M47" s="228">
        <v>315</v>
      </c>
      <c r="N47" s="232"/>
      <c r="O47" s="232"/>
      <c r="P47" s="228">
        <v>315</v>
      </c>
      <c r="Q47" s="228">
        <v>45.4</v>
      </c>
      <c r="R47" s="233">
        <v>85</v>
      </c>
      <c r="S47" s="231">
        <v>30</v>
      </c>
      <c r="T47" s="228">
        <v>7464</v>
      </c>
      <c r="U47" s="288">
        <f t="shared" ref="U47" si="15">L47*S47*T47*R47/100</f>
        <v>190332</v>
      </c>
    </row>
    <row r="48" spans="1:21" ht="15.75" customHeight="1">
      <c r="A48" s="262">
        <v>1</v>
      </c>
      <c r="B48" s="236" t="s">
        <v>516</v>
      </c>
      <c r="C48" s="228">
        <v>7464</v>
      </c>
      <c r="D48" s="281" t="s">
        <v>637</v>
      </c>
      <c r="E48" s="229" t="s">
        <v>394</v>
      </c>
      <c r="F48" s="268" t="s">
        <v>638</v>
      </c>
      <c r="G48" s="265">
        <v>4</v>
      </c>
      <c r="H48" s="264">
        <v>2900</v>
      </c>
      <c r="I48" s="232" t="s">
        <v>603</v>
      </c>
      <c r="J48" s="266"/>
      <c r="K48" s="241"/>
      <c r="L48" s="241">
        <v>1</v>
      </c>
      <c r="M48" s="241">
        <v>65</v>
      </c>
      <c r="N48" s="266"/>
      <c r="O48" s="266"/>
      <c r="P48" s="241">
        <v>25</v>
      </c>
      <c r="Q48" s="241">
        <v>32</v>
      </c>
      <c r="R48" s="267">
        <v>60</v>
      </c>
      <c r="S48" s="265">
        <v>4</v>
      </c>
      <c r="T48" s="228">
        <v>7464</v>
      </c>
      <c r="U48" s="286">
        <f>L48*S48*T48*R48/100</f>
        <v>17913.599999999999</v>
      </c>
    </row>
    <row r="49" spans="1:21" ht="15.75" customHeight="1">
      <c r="A49" s="262">
        <v>1</v>
      </c>
      <c r="B49" s="215" t="s">
        <v>516</v>
      </c>
      <c r="C49" s="204">
        <v>8448</v>
      </c>
      <c r="D49" s="278" t="s">
        <v>618</v>
      </c>
      <c r="E49" s="205" t="s">
        <v>539</v>
      </c>
      <c r="F49" s="206" t="s">
        <v>533</v>
      </c>
      <c r="G49" s="207">
        <v>1.3</v>
      </c>
      <c r="H49" s="205">
        <v>2900</v>
      </c>
      <c r="I49" s="208" t="s">
        <v>603</v>
      </c>
      <c r="J49" s="208"/>
      <c r="K49" s="204"/>
      <c r="L49" s="204">
        <v>1</v>
      </c>
      <c r="M49" s="204">
        <v>200</v>
      </c>
      <c r="N49" s="208"/>
      <c r="O49" s="208"/>
      <c r="P49" s="204">
        <v>3</v>
      </c>
      <c r="Q49" s="204">
        <v>26</v>
      </c>
      <c r="R49" s="204">
        <v>85</v>
      </c>
      <c r="S49" s="207">
        <v>1.3</v>
      </c>
      <c r="T49" s="204">
        <v>8448</v>
      </c>
      <c r="U49" s="286">
        <f t="shared" ref="U49" si="16">L49*S49*T49*R49/100</f>
        <v>9335.0400000000009</v>
      </c>
    </row>
    <row r="50" spans="1:21" ht="15.75" customHeight="1" thickBot="1">
      <c r="A50" s="262">
        <v>1</v>
      </c>
      <c r="B50" s="242" t="s">
        <v>516</v>
      </c>
      <c r="C50" s="243">
        <v>8448</v>
      </c>
      <c r="D50" s="282" t="s">
        <v>618</v>
      </c>
      <c r="E50" s="244" t="s">
        <v>539</v>
      </c>
      <c r="F50" s="269" t="s">
        <v>533</v>
      </c>
      <c r="G50" s="245">
        <v>1.3</v>
      </c>
      <c r="H50" s="244">
        <v>2900</v>
      </c>
      <c r="I50" s="246" t="s">
        <v>603</v>
      </c>
      <c r="J50" s="246"/>
      <c r="K50" s="243"/>
      <c r="L50" s="243">
        <v>1</v>
      </c>
      <c r="M50" s="243">
        <v>200</v>
      </c>
      <c r="N50" s="246"/>
      <c r="O50" s="246"/>
      <c r="P50" s="243">
        <v>3</v>
      </c>
      <c r="Q50" s="243">
        <v>26</v>
      </c>
      <c r="R50" s="243">
        <v>85</v>
      </c>
      <c r="S50" s="245">
        <v>1.3</v>
      </c>
      <c r="T50" s="243">
        <v>8448</v>
      </c>
      <c r="U50" s="289">
        <f t="shared" si="1"/>
        <v>9335.0400000000009</v>
      </c>
    </row>
    <row r="51" spans="1:21" ht="15.75" customHeight="1">
      <c r="A51" s="262">
        <v>1</v>
      </c>
      <c r="B51" s="209" t="s">
        <v>518</v>
      </c>
      <c r="C51" s="210">
        <v>7464</v>
      </c>
      <c r="D51" s="277" t="s">
        <v>619</v>
      </c>
      <c r="E51" s="211" t="s">
        <v>394</v>
      </c>
      <c r="F51" s="212" t="s">
        <v>620</v>
      </c>
      <c r="G51" s="213">
        <v>18.5</v>
      </c>
      <c r="H51" s="211">
        <v>2900</v>
      </c>
      <c r="I51" s="214" t="s">
        <v>603</v>
      </c>
      <c r="J51" s="214"/>
      <c r="K51" s="210">
        <v>-10.5</v>
      </c>
      <c r="L51" s="210">
        <v>1</v>
      </c>
      <c r="M51" s="210">
        <v>200</v>
      </c>
      <c r="N51" s="214"/>
      <c r="O51" s="214"/>
      <c r="P51" s="210">
        <v>78</v>
      </c>
      <c r="Q51" s="210">
        <v>32</v>
      </c>
      <c r="R51" s="210">
        <v>85</v>
      </c>
      <c r="S51" s="213">
        <v>18.5</v>
      </c>
      <c r="T51" s="210">
        <v>7464</v>
      </c>
      <c r="U51" s="285">
        <f t="shared" si="1"/>
        <v>117371.4</v>
      </c>
    </row>
    <row r="52" spans="1:21" ht="15.75" customHeight="1">
      <c r="A52" s="262">
        <v>1</v>
      </c>
      <c r="B52" s="215" t="s">
        <v>518</v>
      </c>
      <c r="C52" s="204">
        <v>7464</v>
      </c>
      <c r="D52" s="278" t="s">
        <v>619</v>
      </c>
      <c r="E52" s="205" t="s">
        <v>394</v>
      </c>
      <c r="F52" s="206" t="s">
        <v>620</v>
      </c>
      <c r="G52" s="207">
        <v>18.5</v>
      </c>
      <c r="H52" s="205">
        <v>2900</v>
      </c>
      <c r="I52" s="208" t="s">
        <v>603</v>
      </c>
      <c r="J52" s="208"/>
      <c r="K52" s="204">
        <v>-10.5</v>
      </c>
      <c r="L52" s="204">
        <v>1</v>
      </c>
      <c r="M52" s="204">
        <v>200</v>
      </c>
      <c r="N52" s="208"/>
      <c r="O52" s="208"/>
      <c r="P52" s="204">
        <v>78</v>
      </c>
      <c r="Q52" s="204">
        <v>32</v>
      </c>
      <c r="R52" s="204">
        <v>85</v>
      </c>
      <c r="S52" s="207">
        <v>18.5</v>
      </c>
      <c r="T52" s="204">
        <v>7464</v>
      </c>
      <c r="U52" s="286">
        <f t="shared" si="1"/>
        <v>117371.4</v>
      </c>
    </row>
    <row r="53" spans="1:21" ht="15.75" customHeight="1">
      <c r="A53" s="262">
        <v>1</v>
      </c>
      <c r="B53" s="215" t="s">
        <v>518</v>
      </c>
      <c r="C53" s="204">
        <v>7464</v>
      </c>
      <c r="D53" s="278" t="s">
        <v>619</v>
      </c>
      <c r="E53" s="205" t="s">
        <v>394</v>
      </c>
      <c r="F53" s="206" t="s">
        <v>620</v>
      </c>
      <c r="G53" s="207">
        <v>18.5</v>
      </c>
      <c r="H53" s="205">
        <v>2900</v>
      </c>
      <c r="I53" s="208" t="s">
        <v>603</v>
      </c>
      <c r="J53" s="208"/>
      <c r="K53" s="204">
        <v>-10.5</v>
      </c>
      <c r="L53" s="204">
        <v>1</v>
      </c>
      <c r="M53" s="204">
        <v>200</v>
      </c>
      <c r="N53" s="208"/>
      <c r="O53" s="208"/>
      <c r="P53" s="204">
        <v>78</v>
      </c>
      <c r="Q53" s="204">
        <v>32</v>
      </c>
      <c r="R53" s="204">
        <v>85</v>
      </c>
      <c r="S53" s="207">
        <v>18.5</v>
      </c>
      <c r="T53" s="204">
        <v>7464</v>
      </c>
      <c r="U53" s="286">
        <f t="shared" si="1"/>
        <v>117371.4</v>
      </c>
    </row>
    <row r="54" spans="1:21" ht="15.75" customHeight="1" thickBot="1">
      <c r="A54" s="262">
        <v>1</v>
      </c>
      <c r="B54" s="216" t="s">
        <v>518</v>
      </c>
      <c r="C54" s="217">
        <v>7464</v>
      </c>
      <c r="D54" s="279" t="s">
        <v>639</v>
      </c>
      <c r="E54" s="218" t="s">
        <v>394</v>
      </c>
      <c r="F54" s="239" t="s">
        <v>640</v>
      </c>
      <c r="G54" s="220">
        <v>2.2000000000000002</v>
      </c>
      <c r="H54" s="218">
        <v>2900</v>
      </c>
      <c r="I54" s="221" t="s">
        <v>603</v>
      </c>
      <c r="J54" s="221"/>
      <c r="K54" s="217">
        <v>-10.5</v>
      </c>
      <c r="L54" s="217">
        <v>1</v>
      </c>
      <c r="M54" s="217">
        <v>50</v>
      </c>
      <c r="N54" s="221"/>
      <c r="O54" s="221"/>
      <c r="P54" s="217">
        <v>78</v>
      </c>
      <c r="Q54" s="217">
        <v>32</v>
      </c>
      <c r="R54" s="217">
        <v>85</v>
      </c>
      <c r="S54" s="220">
        <v>2.2000000000000002</v>
      </c>
      <c r="T54" s="217">
        <v>7464</v>
      </c>
      <c r="U54" s="287">
        <f t="shared" ref="U54" si="17">L54*S54*T54*R54/100</f>
        <v>13957.680000000002</v>
      </c>
    </row>
    <row r="55" spans="1:21" ht="15.75" customHeight="1">
      <c r="A55" s="262">
        <v>1</v>
      </c>
      <c r="B55" s="209" t="s">
        <v>519</v>
      </c>
      <c r="C55" s="210">
        <v>7464</v>
      </c>
      <c r="D55" s="277" t="s">
        <v>520</v>
      </c>
      <c r="E55" s="211" t="s">
        <v>394</v>
      </c>
      <c r="F55" s="212" t="s">
        <v>602</v>
      </c>
      <c r="G55" s="213">
        <v>45</v>
      </c>
      <c r="H55" s="211">
        <v>2960</v>
      </c>
      <c r="I55" s="214" t="s">
        <v>603</v>
      </c>
      <c r="J55" s="214"/>
      <c r="K55" s="210">
        <v>-10.5</v>
      </c>
      <c r="L55" s="210">
        <v>1</v>
      </c>
      <c r="M55" s="210">
        <v>200</v>
      </c>
      <c r="N55" s="214"/>
      <c r="O55" s="214"/>
      <c r="P55" s="210">
        <v>200</v>
      </c>
      <c r="Q55" s="210">
        <v>58</v>
      </c>
      <c r="R55" s="235">
        <v>85</v>
      </c>
      <c r="S55" s="213">
        <v>45</v>
      </c>
      <c r="T55" s="210">
        <v>7464</v>
      </c>
      <c r="U55" s="285">
        <f t="shared" si="1"/>
        <v>285498</v>
      </c>
    </row>
    <row r="56" spans="1:21" ht="15.75" customHeight="1">
      <c r="A56" s="262">
        <v>1</v>
      </c>
      <c r="B56" s="236" t="s">
        <v>519</v>
      </c>
      <c r="C56" s="228">
        <v>7464</v>
      </c>
      <c r="D56" s="280" t="s">
        <v>520</v>
      </c>
      <c r="E56" s="229" t="s">
        <v>394</v>
      </c>
      <c r="F56" s="230" t="s">
        <v>602</v>
      </c>
      <c r="G56" s="231">
        <v>45</v>
      </c>
      <c r="H56" s="229">
        <v>2960</v>
      </c>
      <c r="I56" s="232" t="s">
        <v>603</v>
      </c>
      <c r="J56" s="232"/>
      <c r="K56" s="228">
        <v>-10.5</v>
      </c>
      <c r="L56" s="228">
        <v>1</v>
      </c>
      <c r="M56" s="228">
        <v>200</v>
      </c>
      <c r="N56" s="232"/>
      <c r="O56" s="232"/>
      <c r="P56" s="228">
        <v>200</v>
      </c>
      <c r="Q56" s="228">
        <v>58</v>
      </c>
      <c r="R56" s="233">
        <v>85</v>
      </c>
      <c r="S56" s="231">
        <v>45</v>
      </c>
      <c r="T56" s="228">
        <v>7464</v>
      </c>
      <c r="U56" s="288">
        <f t="shared" ref="U56" si="18">L56*S56*T56*R56/100</f>
        <v>285498</v>
      </c>
    </row>
    <row r="57" spans="1:21" ht="15.75" customHeight="1">
      <c r="A57" s="262">
        <v>1</v>
      </c>
      <c r="B57" s="215" t="s">
        <v>519</v>
      </c>
      <c r="C57" s="204">
        <v>8448</v>
      </c>
      <c r="D57" s="278" t="s">
        <v>521</v>
      </c>
      <c r="E57" s="205" t="s">
        <v>539</v>
      </c>
      <c r="F57" s="199" t="s">
        <v>614</v>
      </c>
      <c r="G57" s="207">
        <v>11</v>
      </c>
      <c r="H57" s="205">
        <v>2900</v>
      </c>
      <c r="I57" s="208" t="s">
        <v>604</v>
      </c>
      <c r="J57" s="208"/>
      <c r="K57" s="204"/>
      <c r="L57" s="204">
        <v>2</v>
      </c>
      <c r="M57" s="204"/>
      <c r="N57" s="208"/>
      <c r="O57" s="208"/>
      <c r="P57" s="204">
        <v>30</v>
      </c>
      <c r="Q57" s="204">
        <v>76</v>
      </c>
      <c r="R57" s="204">
        <v>80</v>
      </c>
      <c r="S57" s="207">
        <v>11</v>
      </c>
      <c r="T57" s="204">
        <v>8448</v>
      </c>
      <c r="U57" s="286">
        <f t="shared" si="1"/>
        <v>148684.79999999999</v>
      </c>
    </row>
    <row r="58" spans="1:21" ht="15.75" customHeight="1">
      <c r="A58" s="262">
        <v>1</v>
      </c>
      <c r="B58" s="215" t="s">
        <v>519</v>
      </c>
      <c r="C58" s="204">
        <v>8448</v>
      </c>
      <c r="D58" s="278" t="s">
        <v>521</v>
      </c>
      <c r="E58" s="205" t="s">
        <v>539</v>
      </c>
      <c r="F58" s="199" t="s">
        <v>614</v>
      </c>
      <c r="G58" s="207">
        <v>11</v>
      </c>
      <c r="H58" s="205">
        <v>2900</v>
      </c>
      <c r="I58" s="208" t="s">
        <v>604</v>
      </c>
      <c r="J58" s="208"/>
      <c r="K58" s="204"/>
      <c r="L58" s="204">
        <v>2</v>
      </c>
      <c r="M58" s="204"/>
      <c r="N58" s="208"/>
      <c r="O58" s="208"/>
      <c r="P58" s="204">
        <v>30</v>
      </c>
      <c r="Q58" s="204">
        <v>76</v>
      </c>
      <c r="R58" s="204">
        <v>80</v>
      </c>
      <c r="S58" s="207">
        <v>11</v>
      </c>
      <c r="T58" s="204">
        <v>8448</v>
      </c>
      <c r="U58" s="286">
        <f t="shared" ref="U58:U60" si="19">L58*S58*T58*R58/100</f>
        <v>148684.79999999999</v>
      </c>
    </row>
    <row r="59" spans="1:21" ht="15.75" customHeight="1">
      <c r="A59" s="262">
        <v>1</v>
      </c>
      <c r="B59" s="215" t="s">
        <v>519</v>
      </c>
      <c r="C59" s="204">
        <v>8448</v>
      </c>
      <c r="D59" s="278" t="s">
        <v>521</v>
      </c>
      <c r="E59" s="205" t="s">
        <v>539</v>
      </c>
      <c r="F59" s="199" t="s">
        <v>614</v>
      </c>
      <c r="G59" s="207">
        <v>11</v>
      </c>
      <c r="H59" s="205">
        <v>2900</v>
      </c>
      <c r="I59" s="208" t="s">
        <v>604</v>
      </c>
      <c r="J59" s="208"/>
      <c r="K59" s="204"/>
      <c r="L59" s="204">
        <v>2</v>
      </c>
      <c r="M59" s="204"/>
      <c r="N59" s="208"/>
      <c r="O59" s="208"/>
      <c r="P59" s="204">
        <v>30</v>
      </c>
      <c r="Q59" s="204">
        <v>76</v>
      </c>
      <c r="R59" s="204">
        <v>80</v>
      </c>
      <c r="S59" s="207">
        <v>11</v>
      </c>
      <c r="T59" s="204">
        <v>8448</v>
      </c>
      <c r="U59" s="286">
        <f t="shared" si="19"/>
        <v>148684.79999999999</v>
      </c>
    </row>
    <row r="60" spans="1:21" ht="15.75" customHeight="1">
      <c r="A60" s="262">
        <v>1</v>
      </c>
      <c r="B60" s="215" t="s">
        <v>519</v>
      </c>
      <c r="C60" s="204">
        <v>8448</v>
      </c>
      <c r="D60" s="278" t="s">
        <v>641</v>
      </c>
      <c r="E60" s="205" t="s">
        <v>539</v>
      </c>
      <c r="F60" s="222" t="s">
        <v>642</v>
      </c>
      <c r="G60" s="207">
        <v>7.5</v>
      </c>
      <c r="H60" s="205">
        <v>2800</v>
      </c>
      <c r="I60" s="208" t="s">
        <v>603</v>
      </c>
      <c r="J60" s="208"/>
      <c r="K60" s="204"/>
      <c r="L60" s="204">
        <v>1</v>
      </c>
      <c r="M60" s="204">
        <v>160</v>
      </c>
      <c r="N60" s="208"/>
      <c r="O60" s="208"/>
      <c r="P60" s="204">
        <v>6</v>
      </c>
      <c r="Q60" s="204">
        <v>32</v>
      </c>
      <c r="R60" s="204">
        <v>85</v>
      </c>
      <c r="S60" s="207">
        <v>7.5</v>
      </c>
      <c r="T60" s="204">
        <v>8448</v>
      </c>
      <c r="U60" s="286">
        <f t="shared" si="19"/>
        <v>53856</v>
      </c>
    </row>
    <row r="61" spans="1:21" ht="15.75" customHeight="1" thickBot="1">
      <c r="A61" s="262">
        <v>1</v>
      </c>
      <c r="B61" s="216" t="s">
        <v>519</v>
      </c>
      <c r="C61" s="217">
        <v>8448</v>
      </c>
      <c r="D61" s="279" t="s">
        <v>641</v>
      </c>
      <c r="E61" s="218" t="s">
        <v>539</v>
      </c>
      <c r="F61" s="239" t="s">
        <v>642</v>
      </c>
      <c r="G61" s="220">
        <v>7.5</v>
      </c>
      <c r="H61" s="218">
        <v>2800</v>
      </c>
      <c r="I61" s="221" t="s">
        <v>603</v>
      </c>
      <c r="J61" s="221"/>
      <c r="K61" s="217"/>
      <c r="L61" s="217">
        <v>1</v>
      </c>
      <c r="M61" s="217">
        <v>160</v>
      </c>
      <c r="N61" s="221"/>
      <c r="O61" s="221"/>
      <c r="P61" s="217">
        <v>6</v>
      </c>
      <c r="Q61" s="217">
        <v>32</v>
      </c>
      <c r="R61" s="217">
        <v>85</v>
      </c>
      <c r="S61" s="220">
        <v>7.5</v>
      </c>
      <c r="T61" s="217">
        <v>8448</v>
      </c>
      <c r="U61" s="287">
        <f t="shared" si="1"/>
        <v>53856</v>
      </c>
    </row>
    <row r="62" spans="1:21" ht="15.75" customHeight="1">
      <c r="A62" s="262">
        <v>1</v>
      </c>
      <c r="B62" s="236" t="s">
        <v>522</v>
      </c>
      <c r="C62" s="228">
        <v>7464</v>
      </c>
      <c r="D62" s="280" t="s">
        <v>621</v>
      </c>
      <c r="E62" s="229" t="s">
        <v>394</v>
      </c>
      <c r="F62" s="237" t="s">
        <v>622</v>
      </c>
      <c r="G62" s="238">
        <v>30</v>
      </c>
      <c r="H62" s="229">
        <v>1450</v>
      </c>
      <c r="I62" s="232" t="s">
        <v>603</v>
      </c>
      <c r="J62" s="232"/>
      <c r="K62" s="228">
        <v>-10.5</v>
      </c>
      <c r="L62" s="228">
        <v>1</v>
      </c>
      <c r="M62" s="228">
        <v>315</v>
      </c>
      <c r="N62" s="232"/>
      <c r="O62" s="232"/>
      <c r="P62" s="228">
        <v>200</v>
      </c>
      <c r="Q62" s="228">
        <v>32</v>
      </c>
      <c r="R62" s="228">
        <v>85</v>
      </c>
      <c r="S62" s="238">
        <v>30</v>
      </c>
      <c r="T62" s="228">
        <v>7464</v>
      </c>
      <c r="U62" s="288">
        <f t="shared" si="1"/>
        <v>190332</v>
      </c>
    </row>
    <row r="63" spans="1:21" ht="15.75" customHeight="1">
      <c r="A63" s="262">
        <v>1</v>
      </c>
      <c r="B63" s="236" t="s">
        <v>522</v>
      </c>
      <c r="C63" s="228">
        <v>7464</v>
      </c>
      <c r="D63" s="280" t="s">
        <v>621</v>
      </c>
      <c r="E63" s="229" t="s">
        <v>394</v>
      </c>
      <c r="F63" s="237" t="s">
        <v>622</v>
      </c>
      <c r="G63" s="238">
        <v>30</v>
      </c>
      <c r="H63" s="229">
        <v>1450</v>
      </c>
      <c r="I63" s="232" t="s">
        <v>603</v>
      </c>
      <c r="J63" s="232"/>
      <c r="K63" s="228">
        <v>-10.5</v>
      </c>
      <c r="L63" s="228">
        <v>1</v>
      </c>
      <c r="M63" s="228">
        <v>315</v>
      </c>
      <c r="N63" s="232"/>
      <c r="O63" s="232"/>
      <c r="P63" s="228">
        <v>200</v>
      </c>
      <c r="Q63" s="228">
        <v>32</v>
      </c>
      <c r="R63" s="228">
        <v>85</v>
      </c>
      <c r="S63" s="238">
        <v>30</v>
      </c>
      <c r="T63" s="228">
        <v>7464</v>
      </c>
      <c r="U63" s="288">
        <f t="shared" ref="U63" si="20">L63*S63*T63*R63/100</f>
        <v>190332</v>
      </c>
    </row>
    <row r="64" spans="1:21" ht="15.75" customHeight="1">
      <c r="A64" s="262">
        <v>1</v>
      </c>
      <c r="B64" s="236" t="s">
        <v>522</v>
      </c>
      <c r="C64" s="228">
        <v>7464</v>
      </c>
      <c r="D64" s="280" t="s">
        <v>621</v>
      </c>
      <c r="E64" s="229" t="s">
        <v>394</v>
      </c>
      <c r="F64" s="237" t="s">
        <v>622</v>
      </c>
      <c r="G64" s="238">
        <v>30</v>
      </c>
      <c r="H64" s="229">
        <v>1450</v>
      </c>
      <c r="I64" s="232" t="s">
        <v>603</v>
      </c>
      <c r="J64" s="232"/>
      <c r="K64" s="228">
        <v>-10.5</v>
      </c>
      <c r="L64" s="228">
        <v>1</v>
      </c>
      <c r="M64" s="228">
        <v>315</v>
      </c>
      <c r="N64" s="232"/>
      <c r="O64" s="232"/>
      <c r="P64" s="228">
        <v>200</v>
      </c>
      <c r="Q64" s="228">
        <v>32</v>
      </c>
      <c r="R64" s="228">
        <v>85</v>
      </c>
      <c r="S64" s="238">
        <v>30</v>
      </c>
      <c r="T64" s="228">
        <v>7464</v>
      </c>
      <c r="U64" s="288">
        <f t="shared" ref="U64:U66" si="21">L64*S64*T64*R64/100</f>
        <v>190332</v>
      </c>
    </row>
    <row r="65" spans="1:21" ht="15.75" customHeight="1">
      <c r="A65" s="262">
        <v>1</v>
      </c>
      <c r="B65" s="236" t="s">
        <v>522</v>
      </c>
      <c r="C65" s="228">
        <v>7464</v>
      </c>
      <c r="D65" s="278" t="s">
        <v>633</v>
      </c>
      <c r="E65" s="205" t="s">
        <v>394</v>
      </c>
      <c r="F65" s="222" t="s">
        <v>634</v>
      </c>
      <c r="G65" s="227">
        <v>7.5</v>
      </c>
      <c r="H65" s="205">
        <v>2900</v>
      </c>
      <c r="I65" s="232" t="s">
        <v>603</v>
      </c>
      <c r="J65" s="208"/>
      <c r="K65" s="228">
        <v>-10.5</v>
      </c>
      <c r="L65" s="228">
        <v>1</v>
      </c>
      <c r="M65" s="204">
        <v>80</v>
      </c>
      <c r="N65" s="208"/>
      <c r="O65" s="208"/>
      <c r="P65" s="204">
        <v>50</v>
      </c>
      <c r="Q65" s="204">
        <v>32</v>
      </c>
      <c r="R65" s="204">
        <v>65</v>
      </c>
      <c r="S65" s="227">
        <v>7.5</v>
      </c>
      <c r="T65" s="228">
        <v>7464</v>
      </c>
      <c r="U65" s="288">
        <f t="shared" si="21"/>
        <v>36387</v>
      </c>
    </row>
    <row r="66" spans="1:21" ht="15.75" customHeight="1" thickBot="1">
      <c r="A66" s="262">
        <v>1</v>
      </c>
      <c r="B66" s="236" t="s">
        <v>522</v>
      </c>
      <c r="C66" s="228">
        <v>7464</v>
      </c>
      <c r="D66" s="278" t="s">
        <v>633</v>
      </c>
      <c r="E66" s="205" t="s">
        <v>394</v>
      </c>
      <c r="F66" s="222" t="s">
        <v>634</v>
      </c>
      <c r="G66" s="227">
        <v>7.5</v>
      </c>
      <c r="H66" s="205">
        <v>2900</v>
      </c>
      <c r="I66" s="232" t="s">
        <v>603</v>
      </c>
      <c r="J66" s="208"/>
      <c r="K66" s="228">
        <v>-10.5</v>
      </c>
      <c r="L66" s="228">
        <v>1</v>
      </c>
      <c r="M66" s="204">
        <v>80</v>
      </c>
      <c r="N66" s="208"/>
      <c r="O66" s="208"/>
      <c r="P66" s="204">
        <v>50</v>
      </c>
      <c r="Q66" s="204">
        <v>32</v>
      </c>
      <c r="R66" s="204">
        <v>65</v>
      </c>
      <c r="S66" s="227">
        <v>7.5</v>
      </c>
      <c r="T66" s="228">
        <v>7464</v>
      </c>
      <c r="U66" s="288">
        <f t="shared" si="21"/>
        <v>36387</v>
      </c>
    </row>
    <row r="67" spans="1:21" ht="15.75" customHeight="1">
      <c r="A67" s="262">
        <v>1</v>
      </c>
      <c r="B67" s="209" t="s">
        <v>523</v>
      </c>
      <c r="C67" s="210">
        <v>7464</v>
      </c>
      <c r="D67" s="277" t="s">
        <v>635</v>
      </c>
      <c r="E67" s="211" t="s">
        <v>394</v>
      </c>
      <c r="F67" s="212" t="s">
        <v>534</v>
      </c>
      <c r="G67" s="213">
        <v>90</v>
      </c>
      <c r="H67" s="211">
        <v>2900</v>
      </c>
      <c r="I67" s="214" t="s">
        <v>603</v>
      </c>
      <c r="J67" s="214"/>
      <c r="K67" s="210">
        <v>-10.5</v>
      </c>
      <c r="L67" s="210">
        <v>1</v>
      </c>
      <c r="M67" s="210">
        <v>315</v>
      </c>
      <c r="N67" s="214"/>
      <c r="O67" s="214"/>
      <c r="P67" s="210">
        <v>258</v>
      </c>
      <c r="Q67" s="210">
        <v>58</v>
      </c>
      <c r="R67" s="210">
        <v>85</v>
      </c>
      <c r="S67" s="213">
        <v>90</v>
      </c>
      <c r="T67" s="210">
        <v>7464</v>
      </c>
      <c r="U67" s="285">
        <f t="shared" si="1"/>
        <v>570996</v>
      </c>
    </row>
    <row r="68" spans="1:21" ht="15.75" customHeight="1">
      <c r="A68" s="262">
        <v>1</v>
      </c>
      <c r="B68" s="236" t="s">
        <v>523</v>
      </c>
      <c r="C68" s="228">
        <v>7464</v>
      </c>
      <c r="D68" s="280" t="s">
        <v>635</v>
      </c>
      <c r="E68" s="229" t="s">
        <v>394</v>
      </c>
      <c r="F68" s="230" t="s">
        <v>534</v>
      </c>
      <c r="G68" s="231">
        <v>90</v>
      </c>
      <c r="H68" s="229">
        <v>2900</v>
      </c>
      <c r="I68" s="232" t="s">
        <v>603</v>
      </c>
      <c r="J68" s="232"/>
      <c r="K68" s="228">
        <v>-10.5</v>
      </c>
      <c r="L68" s="228">
        <v>1</v>
      </c>
      <c r="M68" s="228">
        <v>315</v>
      </c>
      <c r="N68" s="232"/>
      <c r="O68" s="232"/>
      <c r="P68" s="228">
        <v>258</v>
      </c>
      <c r="Q68" s="228">
        <v>58</v>
      </c>
      <c r="R68" s="228">
        <v>85</v>
      </c>
      <c r="S68" s="231">
        <v>90</v>
      </c>
      <c r="T68" s="228">
        <v>7464</v>
      </c>
      <c r="U68" s="288">
        <f t="shared" ref="U68:U73" si="22">L68*S68*T68*R68/100</f>
        <v>570996</v>
      </c>
    </row>
    <row r="69" spans="1:21" ht="15.75" customHeight="1">
      <c r="A69" s="262">
        <v>1</v>
      </c>
      <c r="B69" s="215" t="s">
        <v>523</v>
      </c>
      <c r="C69" s="204">
        <v>7464</v>
      </c>
      <c r="D69" s="278" t="s">
        <v>524</v>
      </c>
      <c r="E69" s="205" t="s">
        <v>394</v>
      </c>
      <c r="F69" s="206" t="s">
        <v>535</v>
      </c>
      <c r="G69" s="207">
        <v>110</v>
      </c>
      <c r="H69" s="205">
        <v>1490</v>
      </c>
      <c r="I69" s="208" t="s">
        <v>603</v>
      </c>
      <c r="J69" s="208"/>
      <c r="K69" s="228">
        <v>-10.5</v>
      </c>
      <c r="L69" s="228">
        <v>1</v>
      </c>
      <c r="M69" s="204">
        <v>315</v>
      </c>
      <c r="N69" s="208"/>
      <c r="O69" s="208"/>
      <c r="P69" s="204">
        <v>500</v>
      </c>
      <c r="Q69" s="204">
        <v>80</v>
      </c>
      <c r="R69" s="204">
        <v>85</v>
      </c>
      <c r="S69" s="207">
        <v>110</v>
      </c>
      <c r="T69" s="204">
        <v>7464</v>
      </c>
      <c r="U69" s="286">
        <f t="shared" si="22"/>
        <v>697884</v>
      </c>
    </row>
    <row r="70" spans="1:21" ht="15.75" customHeight="1">
      <c r="A70" s="262">
        <v>1</v>
      </c>
      <c r="B70" s="236" t="s">
        <v>523</v>
      </c>
      <c r="C70" s="228">
        <v>7464</v>
      </c>
      <c r="D70" s="280" t="s">
        <v>643</v>
      </c>
      <c r="E70" s="229" t="s">
        <v>394</v>
      </c>
      <c r="F70" s="222" t="s">
        <v>636</v>
      </c>
      <c r="G70" s="231">
        <v>18.5</v>
      </c>
      <c r="H70" s="229">
        <v>2940</v>
      </c>
      <c r="I70" s="232" t="s">
        <v>603</v>
      </c>
      <c r="J70" s="232"/>
      <c r="K70" s="228">
        <v>-10.5</v>
      </c>
      <c r="L70" s="228">
        <v>1</v>
      </c>
      <c r="M70" s="228">
        <v>100</v>
      </c>
      <c r="N70" s="232"/>
      <c r="O70" s="232"/>
      <c r="P70" s="228">
        <v>100</v>
      </c>
      <c r="Q70" s="228">
        <v>32</v>
      </c>
      <c r="R70" s="228">
        <v>60</v>
      </c>
      <c r="S70" s="231">
        <v>18.5</v>
      </c>
      <c r="T70" s="204">
        <v>7464</v>
      </c>
      <c r="U70" s="286">
        <f t="shared" si="22"/>
        <v>82850.399999999994</v>
      </c>
    </row>
    <row r="71" spans="1:21" ht="15.75" customHeight="1">
      <c r="A71" s="262">
        <v>1</v>
      </c>
      <c r="B71" s="236" t="s">
        <v>523</v>
      </c>
      <c r="C71" s="228">
        <v>7464</v>
      </c>
      <c r="D71" s="280" t="s">
        <v>643</v>
      </c>
      <c r="E71" s="229" t="s">
        <v>394</v>
      </c>
      <c r="F71" s="222" t="s">
        <v>636</v>
      </c>
      <c r="G71" s="231">
        <v>18.5</v>
      </c>
      <c r="H71" s="229">
        <v>2940</v>
      </c>
      <c r="I71" s="232" t="s">
        <v>603</v>
      </c>
      <c r="J71" s="232"/>
      <c r="K71" s="228">
        <v>-10.5</v>
      </c>
      <c r="L71" s="228">
        <v>1</v>
      </c>
      <c r="M71" s="228">
        <v>100</v>
      </c>
      <c r="N71" s="232"/>
      <c r="O71" s="232"/>
      <c r="P71" s="228">
        <v>100</v>
      </c>
      <c r="Q71" s="228">
        <v>32</v>
      </c>
      <c r="R71" s="228">
        <v>60</v>
      </c>
      <c r="S71" s="231">
        <v>18.5</v>
      </c>
      <c r="T71" s="204">
        <v>7464</v>
      </c>
      <c r="U71" s="286">
        <f t="shared" si="22"/>
        <v>82850.399999999994</v>
      </c>
    </row>
    <row r="72" spans="1:21" ht="15.75" customHeight="1">
      <c r="A72" s="262">
        <v>1</v>
      </c>
      <c r="B72" s="236" t="s">
        <v>523</v>
      </c>
      <c r="C72" s="228">
        <v>7464</v>
      </c>
      <c r="D72" s="278" t="s">
        <v>641</v>
      </c>
      <c r="E72" s="229" t="s">
        <v>394</v>
      </c>
      <c r="F72" s="222" t="s">
        <v>628</v>
      </c>
      <c r="G72" s="207">
        <v>7.5</v>
      </c>
      <c r="H72" s="205">
        <v>2800</v>
      </c>
      <c r="I72" s="232" t="s">
        <v>603</v>
      </c>
      <c r="J72" s="208"/>
      <c r="K72" s="228">
        <v>-10.5</v>
      </c>
      <c r="L72" s="228">
        <v>1</v>
      </c>
      <c r="M72" s="204">
        <v>80</v>
      </c>
      <c r="N72" s="208"/>
      <c r="O72" s="208"/>
      <c r="P72" s="204">
        <v>50</v>
      </c>
      <c r="Q72" s="204">
        <v>32</v>
      </c>
      <c r="R72" s="204">
        <v>65</v>
      </c>
      <c r="S72" s="207">
        <v>7.5</v>
      </c>
      <c r="T72" s="204">
        <v>7464</v>
      </c>
      <c r="U72" s="286">
        <f t="shared" si="22"/>
        <v>36387</v>
      </c>
    </row>
    <row r="73" spans="1:21" ht="15.75" customHeight="1">
      <c r="A73" s="262">
        <v>1</v>
      </c>
      <c r="B73" s="236" t="s">
        <v>523</v>
      </c>
      <c r="C73" s="228">
        <v>7464</v>
      </c>
      <c r="D73" s="278" t="s">
        <v>641</v>
      </c>
      <c r="E73" s="229" t="s">
        <v>394</v>
      </c>
      <c r="F73" s="222" t="s">
        <v>628</v>
      </c>
      <c r="G73" s="207">
        <v>7.5</v>
      </c>
      <c r="H73" s="205">
        <v>2800</v>
      </c>
      <c r="I73" s="232" t="s">
        <v>603</v>
      </c>
      <c r="J73" s="208"/>
      <c r="K73" s="228">
        <v>-10.5</v>
      </c>
      <c r="L73" s="228">
        <v>1</v>
      </c>
      <c r="M73" s="204">
        <v>80</v>
      </c>
      <c r="N73" s="208"/>
      <c r="O73" s="208"/>
      <c r="P73" s="204">
        <v>50</v>
      </c>
      <c r="Q73" s="204">
        <v>32</v>
      </c>
      <c r="R73" s="204">
        <v>65</v>
      </c>
      <c r="S73" s="207">
        <v>7.5</v>
      </c>
      <c r="T73" s="204">
        <v>7464</v>
      </c>
      <c r="U73" s="286">
        <f t="shared" si="22"/>
        <v>36387</v>
      </c>
    </row>
    <row r="74" spans="1:21" ht="15.75" customHeight="1">
      <c r="A74" s="262">
        <v>1</v>
      </c>
      <c r="B74" s="215" t="s">
        <v>523</v>
      </c>
      <c r="C74" s="204">
        <v>8448</v>
      </c>
      <c r="D74" s="278" t="s">
        <v>525</v>
      </c>
      <c r="E74" s="229" t="s">
        <v>394</v>
      </c>
      <c r="F74" s="199" t="s">
        <v>616</v>
      </c>
      <c r="G74" s="207">
        <v>5.5</v>
      </c>
      <c r="H74" s="205">
        <v>1450</v>
      </c>
      <c r="I74" s="208" t="s">
        <v>603</v>
      </c>
      <c r="J74" s="208"/>
      <c r="K74" s="228">
        <v>-10.5</v>
      </c>
      <c r="L74" s="204">
        <v>1</v>
      </c>
      <c r="M74" s="204">
        <v>80</v>
      </c>
      <c r="N74" s="208"/>
      <c r="O74" s="208"/>
      <c r="P74" s="224">
        <v>90</v>
      </c>
      <c r="Q74" s="224">
        <v>57</v>
      </c>
      <c r="R74" s="204">
        <v>90</v>
      </c>
      <c r="S74" s="207">
        <v>5.5</v>
      </c>
      <c r="T74" s="204">
        <v>8448</v>
      </c>
      <c r="U74" s="286">
        <f t="shared" si="1"/>
        <v>41817.599999999999</v>
      </c>
    </row>
    <row r="75" spans="1:21" ht="15.75" customHeight="1">
      <c r="A75" s="262">
        <v>1</v>
      </c>
      <c r="B75" s="215" t="s">
        <v>523</v>
      </c>
      <c r="C75" s="204">
        <v>8448</v>
      </c>
      <c r="D75" s="278" t="s">
        <v>525</v>
      </c>
      <c r="E75" s="229" t="s">
        <v>394</v>
      </c>
      <c r="F75" s="199" t="s">
        <v>616</v>
      </c>
      <c r="G75" s="207">
        <v>5.5</v>
      </c>
      <c r="H75" s="205">
        <v>1450</v>
      </c>
      <c r="I75" s="208" t="s">
        <v>603</v>
      </c>
      <c r="J75" s="208"/>
      <c r="K75" s="228">
        <v>-10.5</v>
      </c>
      <c r="L75" s="204">
        <v>1</v>
      </c>
      <c r="M75" s="204">
        <v>80</v>
      </c>
      <c r="N75" s="208"/>
      <c r="O75" s="208"/>
      <c r="P75" s="224">
        <v>90</v>
      </c>
      <c r="Q75" s="224">
        <v>57</v>
      </c>
      <c r="R75" s="204">
        <v>90</v>
      </c>
      <c r="S75" s="207">
        <v>5.5</v>
      </c>
      <c r="T75" s="204">
        <v>8448</v>
      </c>
      <c r="U75" s="286">
        <f t="shared" ref="U75" si="23">L75*S75*T75*R75/100</f>
        <v>41817.599999999999</v>
      </c>
    </row>
    <row r="76" spans="1:21" ht="15.75" customHeight="1">
      <c r="A76" s="262">
        <v>1</v>
      </c>
      <c r="B76" s="215" t="s">
        <v>523</v>
      </c>
      <c r="C76" s="204">
        <v>8448</v>
      </c>
      <c r="D76" s="278" t="s">
        <v>526</v>
      </c>
      <c r="E76" s="205" t="s">
        <v>539</v>
      </c>
      <c r="F76" s="199" t="s">
        <v>617</v>
      </c>
      <c r="G76" s="207">
        <v>2.2000000000000002</v>
      </c>
      <c r="H76" s="205">
        <v>2900</v>
      </c>
      <c r="I76" s="208" t="s">
        <v>603</v>
      </c>
      <c r="J76" s="208"/>
      <c r="K76" s="228">
        <v>-10.5</v>
      </c>
      <c r="L76" s="204">
        <v>1</v>
      </c>
      <c r="M76" s="204">
        <v>80</v>
      </c>
      <c r="N76" s="208"/>
      <c r="O76" s="208"/>
      <c r="P76" s="204">
        <v>50</v>
      </c>
      <c r="Q76" s="204">
        <v>8</v>
      </c>
      <c r="R76" s="204">
        <v>80</v>
      </c>
      <c r="S76" s="207">
        <v>2.2000000000000002</v>
      </c>
      <c r="T76" s="204">
        <v>8448</v>
      </c>
      <c r="U76" s="286">
        <f t="shared" si="1"/>
        <v>14868.480000000003</v>
      </c>
    </row>
    <row r="77" spans="1:21" ht="15.75" customHeight="1">
      <c r="A77" s="262">
        <v>1</v>
      </c>
      <c r="B77" s="215" t="s">
        <v>523</v>
      </c>
      <c r="C77" s="204">
        <v>8448</v>
      </c>
      <c r="D77" s="278" t="s">
        <v>526</v>
      </c>
      <c r="E77" s="205" t="s">
        <v>539</v>
      </c>
      <c r="F77" s="199" t="s">
        <v>617</v>
      </c>
      <c r="G77" s="207">
        <v>2.2000000000000002</v>
      </c>
      <c r="H77" s="205">
        <v>2900</v>
      </c>
      <c r="I77" s="208" t="s">
        <v>603</v>
      </c>
      <c r="J77" s="208"/>
      <c r="K77" s="228">
        <v>-10.5</v>
      </c>
      <c r="L77" s="204">
        <v>1</v>
      </c>
      <c r="M77" s="204">
        <v>80</v>
      </c>
      <c r="N77" s="208"/>
      <c r="O77" s="208"/>
      <c r="P77" s="204">
        <v>50</v>
      </c>
      <c r="Q77" s="204">
        <v>8</v>
      </c>
      <c r="R77" s="204">
        <v>80</v>
      </c>
      <c r="S77" s="207">
        <v>2.2000000000000002</v>
      </c>
      <c r="T77" s="204">
        <v>8448</v>
      </c>
      <c r="U77" s="286">
        <f t="shared" ref="U77" si="24">L77*S77*T77*R77/100</f>
        <v>14868.480000000003</v>
      </c>
    </row>
    <row r="78" spans="1:21" ht="15.75" customHeight="1">
      <c r="A78" s="262">
        <v>1</v>
      </c>
      <c r="B78" s="242" t="s">
        <v>523</v>
      </c>
      <c r="C78" s="243">
        <v>8448</v>
      </c>
      <c r="D78" s="282" t="s">
        <v>527</v>
      </c>
      <c r="E78" s="244" t="s">
        <v>539</v>
      </c>
      <c r="F78" s="223" t="s">
        <v>615</v>
      </c>
      <c r="G78" s="245">
        <v>30</v>
      </c>
      <c r="H78" s="244">
        <v>2900</v>
      </c>
      <c r="I78" s="246" t="s">
        <v>604</v>
      </c>
      <c r="J78" s="246"/>
      <c r="K78" s="241">
        <v>-10.5</v>
      </c>
      <c r="L78" s="243">
        <v>1</v>
      </c>
      <c r="M78" s="243">
        <v>200</v>
      </c>
      <c r="N78" s="246"/>
      <c r="O78" s="246"/>
      <c r="P78" s="243">
        <v>94</v>
      </c>
      <c r="Q78" s="243">
        <v>97</v>
      </c>
      <c r="R78" s="243">
        <v>80</v>
      </c>
      <c r="S78" s="245">
        <v>30</v>
      </c>
      <c r="T78" s="243">
        <v>8448</v>
      </c>
      <c r="U78" s="289">
        <f t="shared" si="1"/>
        <v>202752</v>
      </c>
    </row>
    <row r="79" spans="1:21" ht="15.75" customHeight="1" thickBot="1">
      <c r="A79" s="262">
        <v>1</v>
      </c>
      <c r="B79" s="242" t="s">
        <v>523</v>
      </c>
      <c r="C79" s="243">
        <v>8448</v>
      </c>
      <c r="D79" s="282" t="s">
        <v>527</v>
      </c>
      <c r="E79" s="244" t="s">
        <v>539</v>
      </c>
      <c r="F79" s="223" t="s">
        <v>615</v>
      </c>
      <c r="G79" s="245">
        <v>30</v>
      </c>
      <c r="H79" s="244">
        <v>2900</v>
      </c>
      <c r="I79" s="246" t="s">
        <v>604</v>
      </c>
      <c r="J79" s="246"/>
      <c r="K79" s="241">
        <v>-10.5</v>
      </c>
      <c r="L79" s="243">
        <v>1</v>
      </c>
      <c r="M79" s="243">
        <v>200</v>
      </c>
      <c r="N79" s="246"/>
      <c r="O79" s="246"/>
      <c r="P79" s="243">
        <v>94</v>
      </c>
      <c r="Q79" s="243">
        <v>97</v>
      </c>
      <c r="R79" s="243">
        <v>80</v>
      </c>
      <c r="S79" s="245">
        <v>30</v>
      </c>
      <c r="T79" s="243">
        <v>8448</v>
      </c>
      <c r="U79" s="289">
        <f t="shared" ref="U79" si="25">L79*S79*T79*R79/100</f>
        <v>202752</v>
      </c>
    </row>
    <row r="80" spans="1:21" ht="15.75" customHeight="1">
      <c r="A80" s="262">
        <v>1</v>
      </c>
      <c r="B80" s="247" t="s">
        <v>528</v>
      </c>
      <c r="C80" s="210">
        <v>7464</v>
      </c>
      <c r="D80" s="277" t="s">
        <v>623</v>
      </c>
      <c r="E80" s="211" t="s">
        <v>394</v>
      </c>
      <c r="F80" s="240" t="s">
        <v>624</v>
      </c>
      <c r="G80" s="213">
        <v>18.5</v>
      </c>
      <c r="H80" s="211">
        <v>2900</v>
      </c>
      <c r="I80" s="214" t="s">
        <v>603</v>
      </c>
      <c r="J80" s="214"/>
      <c r="K80" s="210">
        <v>-10.5</v>
      </c>
      <c r="L80" s="210">
        <v>1</v>
      </c>
      <c r="M80" s="210">
        <v>200</v>
      </c>
      <c r="N80" s="214"/>
      <c r="O80" s="214"/>
      <c r="P80" s="210">
        <v>78</v>
      </c>
      <c r="Q80" s="210">
        <v>40</v>
      </c>
      <c r="R80" s="210">
        <v>85</v>
      </c>
      <c r="S80" s="213">
        <v>18.5</v>
      </c>
      <c r="T80" s="210">
        <v>7464</v>
      </c>
      <c r="U80" s="285">
        <f t="shared" si="1"/>
        <v>117371.4</v>
      </c>
    </row>
    <row r="81" spans="1:21" ht="15.75" customHeight="1" thickBot="1">
      <c r="A81" s="262">
        <v>1</v>
      </c>
      <c r="B81" s="248" t="s">
        <v>528</v>
      </c>
      <c r="C81" s="249">
        <v>7464</v>
      </c>
      <c r="D81" s="283" t="s">
        <v>623</v>
      </c>
      <c r="E81" s="250" t="s">
        <v>394</v>
      </c>
      <c r="F81" s="251" t="s">
        <v>624</v>
      </c>
      <c r="G81" s="252">
        <v>18.5</v>
      </c>
      <c r="H81" s="250">
        <v>2900</v>
      </c>
      <c r="I81" s="253" t="s">
        <v>603</v>
      </c>
      <c r="J81" s="253"/>
      <c r="K81" s="249">
        <v>-10.5</v>
      </c>
      <c r="L81" s="249">
        <v>1</v>
      </c>
      <c r="M81" s="249">
        <v>200</v>
      </c>
      <c r="N81" s="253"/>
      <c r="O81" s="253"/>
      <c r="P81" s="249">
        <v>78</v>
      </c>
      <c r="Q81" s="249">
        <v>40</v>
      </c>
      <c r="R81" s="249">
        <v>85</v>
      </c>
      <c r="S81" s="252">
        <v>18.5</v>
      </c>
      <c r="T81" s="249">
        <v>7464</v>
      </c>
      <c r="U81" s="290">
        <f t="shared" ref="U81" si="26">L81*S81*T81*R81/100</f>
        <v>117371.4</v>
      </c>
    </row>
    <row r="82" spans="1:21" ht="15.75" customHeight="1">
      <c r="A82" s="262">
        <v>1</v>
      </c>
      <c r="B82" s="247" t="s">
        <v>529</v>
      </c>
      <c r="C82" s="210">
        <v>7464</v>
      </c>
      <c r="D82" s="277" t="s">
        <v>625</v>
      </c>
      <c r="E82" s="211" t="s">
        <v>394</v>
      </c>
      <c r="F82" s="240" t="s">
        <v>626</v>
      </c>
      <c r="G82" s="213">
        <v>7.5</v>
      </c>
      <c r="H82" s="211">
        <v>2900</v>
      </c>
      <c r="I82" s="214" t="s">
        <v>603</v>
      </c>
      <c r="J82" s="214"/>
      <c r="K82" s="210">
        <v>-10.5</v>
      </c>
      <c r="L82" s="210">
        <v>1</v>
      </c>
      <c r="M82" s="210">
        <v>160</v>
      </c>
      <c r="N82" s="214"/>
      <c r="O82" s="214"/>
      <c r="P82" s="210">
        <v>39</v>
      </c>
      <c r="Q82" s="210">
        <v>35</v>
      </c>
      <c r="R82" s="210">
        <v>85</v>
      </c>
      <c r="S82" s="213">
        <v>7.5</v>
      </c>
      <c r="T82" s="210">
        <v>7464</v>
      </c>
      <c r="U82" s="285">
        <f t="shared" si="1"/>
        <v>47583</v>
      </c>
    </row>
    <row r="83" spans="1:21" ht="15.75" customHeight="1" thickBot="1">
      <c r="A83" s="262">
        <v>1</v>
      </c>
      <c r="B83" s="248" t="s">
        <v>529</v>
      </c>
      <c r="C83" s="249">
        <v>7464</v>
      </c>
      <c r="D83" s="283" t="s">
        <v>625</v>
      </c>
      <c r="E83" s="250" t="s">
        <v>394</v>
      </c>
      <c r="F83" s="251" t="s">
        <v>626</v>
      </c>
      <c r="G83" s="252">
        <v>7.5</v>
      </c>
      <c r="H83" s="250">
        <v>2900</v>
      </c>
      <c r="I83" s="253" t="s">
        <v>603</v>
      </c>
      <c r="J83" s="253"/>
      <c r="K83" s="249">
        <v>-10.5</v>
      </c>
      <c r="L83" s="249">
        <v>1</v>
      </c>
      <c r="M83" s="249">
        <v>160</v>
      </c>
      <c r="N83" s="253"/>
      <c r="O83" s="253"/>
      <c r="P83" s="249">
        <v>39</v>
      </c>
      <c r="Q83" s="249">
        <v>35</v>
      </c>
      <c r="R83" s="249">
        <v>85</v>
      </c>
      <c r="S83" s="252">
        <v>7.5</v>
      </c>
      <c r="T83" s="249">
        <v>7464</v>
      </c>
      <c r="U83" s="290">
        <f t="shared" ref="U83" si="27">L83*S83*T83*R83/100</f>
        <v>47583</v>
      </c>
    </row>
    <row r="84" spans="1:21" ht="15.75" customHeight="1">
      <c r="A84" s="262">
        <v>1</v>
      </c>
      <c r="B84" s="247" t="s">
        <v>530</v>
      </c>
      <c r="C84" s="210">
        <v>7464</v>
      </c>
      <c r="D84" s="284" t="s">
        <v>630</v>
      </c>
      <c r="E84" s="211" t="s">
        <v>394</v>
      </c>
      <c r="F84" s="272" t="s">
        <v>644</v>
      </c>
      <c r="G84" s="273">
        <v>18.5</v>
      </c>
      <c r="H84" s="274">
        <v>2900</v>
      </c>
      <c r="I84" s="214" t="s">
        <v>603</v>
      </c>
      <c r="J84" s="275"/>
      <c r="K84" s="256">
        <v>-10.5</v>
      </c>
      <c r="L84" s="271">
        <v>1</v>
      </c>
      <c r="M84" s="271">
        <v>15</v>
      </c>
      <c r="N84" s="275"/>
      <c r="O84" s="275"/>
      <c r="P84" s="271">
        <v>10</v>
      </c>
      <c r="Q84" s="271">
        <v>45</v>
      </c>
      <c r="R84" s="271">
        <v>75</v>
      </c>
      <c r="S84" s="273">
        <v>18.5</v>
      </c>
      <c r="T84" s="204">
        <v>7464</v>
      </c>
      <c r="U84" s="286">
        <f t="shared" si="1"/>
        <v>103563</v>
      </c>
    </row>
    <row r="85" spans="1:21" ht="15.75" customHeight="1">
      <c r="A85" s="262">
        <v>1</v>
      </c>
      <c r="B85" s="257" t="s">
        <v>530</v>
      </c>
      <c r="C85" s="228">
        <v>7464</v>
      </c>
      <c r="D85" s="278" t="s">
        <v>663</v>
      </c>
      <c r="E85" s="205" t="s">
        <v>394</v>
      </c>
      <c r="F85" s="222" t="s">
        <v>644</v>
      </c>
      <c r="G85" s="207">
        <v>18.5</v>
      </c>
      <c r="H85" s="205">
        <v>1900</v>
      </c>
      <c r="I85" s="208" t="s">
        <v>603</v>
      </c>
      <c r="J85" s="208"/>
      <c r="K85" s="270">
        <v>-10.5</v>
      </c>
      <c r="L85" s="204">
        <v>1</v>
      </c>
      <c r="M85" s="204">
        <v>15</v>
      </c>
      <c r="N85" s="208"/>
      <c r="O85" s="208"/>
      <c r="P85" s="204">
        <v>10</v>
      </c>
      <c r="Q85" s="204">
        <v>45</v>
      </c>
      <c r="R85" s="204">
        <v>75</v>
      </c>
      <c r="S85" s="207">
        <v>18.5</v>
      </c>
      <c r="T85" s="204">
        <v>7464</v>
      </c>
      <c r="U85" s="286">
        <f t="shared" si="1"/>
        <v>103563</v>
      </c>
    </row>
    <row r="86" spans="1:21" ht="15.75" customHeight="1">
      <c r="A86" s="262">
        <v>1</v>
      </c>
      <c r="B86" s="260" t="s">
        <v>530</v>
      </c>
      <c r="C86" s="204">
        <v>7464</v>
      </c>
      <c r="D86" s="278" t="s">
        <v>662</v>
      </c>
      <c r="E86" s="205" t="s">
        <v>394</v>
      </c>
      <c r="F86" s="222" t="s">
        <v>645</v>
      </c>
      <c r="G86" s="225">
        <v>2.2000000000000002</v>
      </c>
      <c r="H86" s="205">
        <v>2900</v>
      </c>
      <c r="I86" s="208" t="s">
        <v>603</v>
      </c>
      <c r="J86" s="208"/>
      <c r="K86" s="270">
        <v>-10.5</v>
      </c>
      <c r="L86" s="270">
        <v>1</v>
      </c>
      <c r="M86" s="270">
        <v>160</v>
      </c>
      <c r="N86" s="208"/>
      <c r="O86" s="208"/>
      <c r="P86" s="270">
        <v>100</v>
      </c>
      <c r="Q86" s="270">
        <v>38</v>
      </c>
      <c r="R86" s="270">
        <v>85</v>
      </c>
      <c r="S86" s="225">
        <v>2.2000000000000002</v>
      </c>
      <c r="T86" s="204">
        <v>7464</v>
      </c>
      <c r="U86" s="286">
        <f t="shared" si="1"/>
        <v>13957.680000000002</v>
      </c>
    </row>
    <row r="87" spans="1:21" ht="15.75" customHeight="1">
      <c r="A87" s="262">
        <v>1</v>
      </c>
      <c r="B87" s="257" t="s">
        <v>530</v>
      </c>
      <c r="C87" s="228">
        <v>7464</v>
      </c>
      <c r="D87" s="278" t="s">
        <v>662</v>
      </c>
      <c r="E87" s="229" t="s">
        <v>394</v>
      </c>
      <c r="F87" s="222" t="s">
        <v>645</v>
      </c>
      <c r="G87" s="254">
        <v>2.2000000000000002</v>
      </c>
      <c r="H87" s="229">
        <v>2900</v>
      </c>
      <c r="I87" s="232" t="s">
        <v>603</v>
      </c>
      <c r="J87" s="232"/>
      <c r="K87" s="255">
        <v>-10.5</v>
      </c>
      <c r="L87" s="255">
        <v>1</v>
      </c>
      <c r="M87" s="255">
        <v>160</v>
      </c>
      <c r="N87" s="232"/>
      <c r="O87" s="232"/>
      <c r="P87" s="255">
        <v>100</v>
      </c>
      <c r="Q87" s="255">
        <v>38</v>
      </c>
      <c r="R87" s="255">
        <v>85</v>
      </c>
      <c r="S87" s="254">
        <v>2.2000000000000002</v>
      </c>
      <c r="T87" s="228">
        <v>7464</v>
      </c>
      <c r="U87" s="288">
        <f t="shared" ref="U87" si="28">L87*S87*T87*R87/100</f>
        <v>13957.680000000002</v>
      </c>
    </row>
    <row r="88" spans="1:21" ht="15.75" customHeight="1">
      <c r="A88" s="262">
        <v>1</v>
      </c>
      <c r="B88" s="257" t="s">
        <v>530</v>
      </c>
      <c r="C88" s="228">
        <v>7464</v>
      </c>
      <c r="D88" s="280" t="s">
        <v>661</v>
      </c>
      <c r="E88" s="229" t="s">
        <v>394</v>
      </c>
      <c r="F88" s="237" t="s">
        <v>646</v>
      </c>
      <c r="G88" s="254">
        <v>15</v>
      </c>
      <c r="H88" s="229">
        <v>3000</v>
      </c>
      <c r="I88" s="232" t="s">
        <v>603</v>
      </c>
      <c r="J88" s="232"/>
      <c r="K88" s="255"/>
      <c r="L88" s="255">
        <v>1</v>
      </c>
      <c r="M88" s="255">
        <v>80</v>
      </c>
      <c r="N88" s="232"/>
      <c r="O88" s="232"/>
      <c r="P88" s="204">
        <v>50</v>
      </c>
      <c r="Q88" s="204">
        <v>32</v>
      </c>
      <c r="R88" s="224">
        <v>65</v>
      </c>
      <c r="S88" s="254">
        <v>15</v>
      </c>
      <c r="T88" s="228">
        <v>7465</v>
      </c>
      <c r="U88" s="288">
        <f t="shared" ref="U88:U89" si="29">L88*S88*T88*R88/100</f>
        <v>72783.75</v>
      </c>
    </row>
    <row r="89" spans="1:21" ht="15.75" customHeight="1" thickBot="1">
      <c r="A89" s="262">
        <v>1</v>
      </c>
      <c r="B89" s="248" t="s">
        <v>530</v>
      </c>
      <c r="C89" s="249">
        <v>7464</v>
      </c>
      <c r="D89" s="280" t="s">
        <v>661</v>
      </c>
      <c r="E89" s="250" t="s">
        <v>394</v>
      </c>
      <c r="F89" s="251" t="s">
        <v>646</v>
      </c>
      <c r="G89" s="258">
        <v>15</v>
      </c>
      <c r="H89" s="250">
        <v>3000</v>
      </c>
      <c r="I89" s="232" t="s">
        <v>603</v>
      </c>
      <c r="J89" s="253"/>
      <c r="K89" s="259"/>
      <c r="L89" s="259">
        <v>1</v>
      </c>
      <c r="M89" s="259">
        <v>80</v>
      </c>
      <c r="N89" s="253"/>
      <c r="O89" s="253"/>
      <c r="P89" s="204">
        <v>50</v>
      </c>
      <c r="Q89" s="204">
        <v>32</v>
      </c>
      <c r="R89" s="224">
        <v>65</v>
      </c>
      <c r="S89" s="258">
        <v>15</v>
      </c>
      <c r="T89" s="228">
        <v>7466</v>
      </c>
      <c r="U89" s="288">
        <f t="shared" si="29"/>
        <v>72793.5</v>
      </c>
    </row>
    <row r="90" spans="1:21" ht="15.75" customHeight="1">
      <c r="A90" s="262">
        <v>1</v>
      </c>
      <c r="B90" s="247" t="s">
        <v>531</v>
      </c>
      <c r="C90" s="210">
        <v>7464</v>
      </c>
      <c r="D90" s="277" t="s">
        <v>629</v>
      </c>
      <c r="E90" s="211" t="s">
        <v>394</v>
      </c>
      <c r="F90" s="240" t="s">
        <v>627</v>
      </c>
      <c r="G90" s="213">
        <v>15</v>
      </c>
      <c r="H90" s="211">
        <v>2940</v>
      </c>
      <c r="I90" s="214" t="s">
        <v>603</v>
      </c>
      <c r="J90" s="214"/>
      <c r="K90" s="210">
        <v>-10.5</v>
      </c>
      <c r="L90" s="210">
        <v>1</v>
      </c>
      <c r="M90" s="210">
        <v>160</v>
      </c>
      <c r="N90" s="214"/>
      <c r="O90" s="214"/>
      <c r="P90" s="210">
        <v>100</v>
      </c>
      <c r="Q90" s="210">
        <v>32</v>
      </c>
      <c r="R90" s="210">
        <v>85</v>
      </c>
      <c r="S90" s="213">
        <v>15</v>
      </c>
      <c r="T90" s="210">
        <v>7464</v>
      </c>
      <c r="U90" s="285">
        <f t="shared" si="1"/>
        <v>95166</v>
      </c>
    </row>
    <row r="91" spans="1:21" ht="15.75" customHeight="1">
      <c r="A91" s="262">
        <v>1</v>
      </c>
      <c r="B91" s="257" t="s">
        <v>531</v>
      </c>
      <c r="C91" s="228">
        <v>7464</v>
      </c>
      <c r="D91" s="280" t="s">
        <v>629</v>
      </c>
      <c r="E91" s="229" t="s">
        <v>394</v>
      </c>
      <c r="F91" s="237" t="s">
        <v>627</v>
      </c>
      <c r="G91" s="231">
        <v>15</v>
      </c>
      <c r="H91" s="229">
        <v>2940</v>
      </c>
      <c r="I91" s="232" t="s">
        <v>603</v>
      </c>
      <c r="J91" s="232"/>
      <c r="K91" s="228">
        <v>-10.5</v>
      </c>
      <c r="L91" s="228">
        <v>1</v>
      </c>
      <c r="M91" s="228">
        <v>160</v>
      </c>
      <c r="N91" s="232"/>
      <c r="O91" s="232"/>
      <c r="P91" s="228">
        <v>100</v>
      </c>
      <c r="Q91" s="228">
        <v>32</v>
      </c>
      <c r="R91" s="228">
        <v>85</v>
      </c>
      <c r="S91" s="231">
        <v>15</v>
      </c>
      <c r="T91" s="228">
        <v>7464</v>
      </c>
      <c r="U91" s="288">
        <f t="shared" ref="U91:U92" si="30">L91*S91*T91*R91/100</f>
        <v>95166</v>
      </c>
    </row>
    <row r="92" spans="1:21" ht="15.75" customHeight="1">
      <c r="A92" s="262">
        <v>1</v>
      </c>
      <c r="B92" s="257" t="s">
        <v>531</v>
      </c>
      <c r="C92" s="228">
        <v>7464</v>
      </c>
      <c r="D92" s="280" t="s">
        <v>629</v>
      </c>
      <c r="E92" s="229" t="s">
        <v>394</v>
      </c>
      <c r="F92" s="237" t="s">
        <v>627</v>
      </c>
      <c r="G92" s="231">
        <v>15</v>
      </c>
      <c r="H92" s="229">
        <v>2940</v>
      </c>
      <c r="I92" s="232" t="s">
        <v>603</v>
      </c>
      <c r="J92" s="232"/>
      <c r="K92" s="228">
        <v>-10.5</v>
      </c>
      <c r="L92" s="228">
        <v>1</v>
      </c>
      <c r="M92" s="228">
        <v>160</v>
      </c>
      <c r="N92" s="232"/>
      <c r="O92" s="232"/>
      <c r="P92" s="228">
        <v>100</v>
      </c>
      <c r="Q92" s="228">
        <v>32</v>
      </c>
      <c r="R92" s="228">
        <v>85</v>
      </c>
      <c r="S92" s="231">
        <v>15</v>
      </c>
      <c r="T92" s="228">
        <v>7464</v>
      </c>
      <c r="U92" s="288">
        <f t="shared" si="30"/>
        <v>95166</v>
      </c>
    </row>
    <row r="93" spans="1:21" ht="15.75" customHeight="1">
      <c r="A93" s="262">
        <v>1</v>
      </c>
      <c r="B93" s="260" t="s">
        <v>531</v>
      </c>
      <c r="C93" s="204">
        <v>8448</v>
      </c>
      <c r="D93" s="278" t="s">
        <v>630</v>
      </c>
      <c r="E93" s="205" t="s">
        <v>539</v>
      </c>
      <c r="F93" s="206" t="s">
        <v>536</v>
      </c>
      <c r="G93" s="207">
        <v>3</v>
      </c>
      <c r="H93" s="205">
        <v>2850</v>
      </c>
      <c r="I93" s="208" t="s">
        <v>603</v>
      </c>
      <c r="J93" s="208"/>
      <c r="K93" s="204"/>
      <c r="L93" s="204">
        <v>1</v>
      </c>
      <c r="M93" s="204">
        <v>180</v>
      </c>
      <c r="N93" s="208"/>
      <c r="O93" s="208"/>
      <c r="P93" s="204">
        <v>6</v>
      </c>
      <c r="Q93" s="204">
        <v>40</v>
      </c>
      <c r="R93" s="204">
        <v>85</v>
      </c>
      <c r="S93" s="207">
        <v>3</v>
      </c>
      <c r="T93" s="204">
        <v>8448</v>
      </c>
      <c r="U93" s="286">
        <f t="shared" si="1"/>
        <v>21542.400000000001</v>
      </c>
    </row>
    <row r="94" spans="1:21" ht="15.75" customHeight="1" thickBot="1">
      <c r="A94" s="262">
        <v>1</v>
      </c>
      <c r="B94" s="261" t="s">
        <v>531</v>
      </c>
      <c r="C94" s="217">
        <v>8448</v>
      </c>
      <c r="D94" s="279" t="s">
        <v>630</v>
      </c>
      <c r="E94" s="218" t="s">
        <v>539</v>
      </c>
      <c r="F94" s="219" t="s">
        <v>536</v>
      </c>
      <c r="G94" s="220">
        <v>3</v>
      </c>
      <c r="H94" s="218">
        <v>2850</v>
      </c>
      <c r="I94" s="221" t="s">
        <v>603</v>
      </c>
      <c r="J94" s="221"/>
      <c r="K94" s="217"/>
      <c r="L94" s="217">
        <v>1</v>
      </c>
      <c r="M94" s="217">
        <v>180</v>
      </c>
      <c r="N94" s="221"/>
      <c r="O94" s="221"/>
      <c r="P94" s="217">
        <v>6</v>
      </c>
      <c r="Q94" s="217">
        <v>40</v>
      </c>
      <c r="R94" s="217">
        <v>85</v>
      </c>
      <c r="S94" s="220">
        <v>3</v>
      </c>
      <c r="T94" s="217">
        <v>8448</v>
      </c>
      <c r="U94" s="287">
        <f t="shared" ref="U94" si="31">L94*S94*T94*R94/100</f>
        <v>21542.400000000001</v>
      </c>
    </row>
    <row r="95" spans="1:21">
      <c r="A95" s="262"/>
      <c r="B95" s="232"/>
      <c r="C95" s="232"/>
      <c r="D95" s="232"/>
      <c r="E95" s="232"/>
      <c r="F95" s="232"/>
      <c r="G95" s="299">
        <f>SUM(G12:G94)</f>
        <v>1391.9</v>
      </c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299">
        <f>SUM(S12:S94)</f>
        <v>1391.9</v>
      </c>
      <c r="T95" s="300"/>
      <c r="U95" s="291">
        <f>SUM(U12:U93)</f>
        <v>10755025.050000003</v>
      </c>
    </row>
    <row r="97" spans="2:11">
      <c r="G97" s="263"/>
      <c r="H97" s="276"/>
    </row>
    <row r="98" spans="2:11">
      <c r="B98" s="262">
        <f>SUM(A12:A94)</f>
        <v>83</v>
      </c>
      <c r="C98" s="262"/>
      <c r="D98" s="262"/>
      <c r="E98" s="262"/>
      <c r="F98" s="262"/>
      <c r="G98" s="262"/>
      <c r="H98" s="262"/>
      <c r="I98" s="262"/>
      <c r="J98" s="262"/>
      <c r="K98" s="262"/>
    </row>
    <row r="99" spans="2:11">
      <c r="B99" s="262"/>
      <c r="C99" s="262"/>
      <c r="D99" s="262"/>
      <c r="E99" s="262"/>
      <c r="F99" s="262"/>
      <c r="G99" s="262"/>
      <c r="H99" s="262"/>
      <c r="I99" s="262"/>
      <c r="J99" s="262"/>
      <c r="K99" s="262"/>
    </row>
    <row r="100" spans="2:11">
      <c r="B100" s="262"/>
      <c r="C100" s="292" t="s">
        <v>650</v>
      </c>
      <c r="D100" s="293">
        <f>G12+G15+G17+G19+G21+G23+G25+G27</f>
        <v>94.5</v>
      </c>
      <c r="E100" s="262"/>
      <c r="F100" s="262"/>
      <c r="G100" s="262"/>
      <c r="H100" s="262"/>
      <c r="I100" s="262"/>
      <c r="J100" s="262"/>
      <c r="K100" s="262"/>
    </row>
    <row r="101" spans="2:11">
      <c r="B101" s="262"/>
      <c r="C101" s="292" t="s">
        <v>651</v>
      </c>
      <c r="D101" s="293">
        <f>G29+G32+G34+G36+G38+G40+G42+G44</f>
        <v>75.900000000000006</v>
      </c>
      <c r="E101" s="262"/>
      <c r="F101" s="262"/>
      <c r="G101" s="293"/>
      <c r="H101" s="262"/>
      <c r="I101" s="262"/>
      <c r="J101" s="262"/>
      <c r="K101" s="262"/>
    </row>
    <row r="102" spans="2:11">
      <c r="B102" s="262"/>
      <c r="C102" s="292" t="s">
        <v>652</v>
      </c>
      <c r="D102" s="293">
        <f>G46+G48+G49</f>
        <v>35.299999999999997</v>
      </c>
      <c r="E102" s="295"/>
      <c r="F102" s="295" t="s">
        <v>649</v>
      </c>
      <c r="G102" s="295"/>
      <c r="H102" s="295"/>
      <c r="I102" s="295"/>
      <c r="J102" s="262"/>
      <c r="K102" s="262"/>
    </row>
    <row r="103" spans="2:11">
      <c r="B103" s="262"/>
      <c r="C103" s="292" t="s">
        <v>653</v>
      </c>
      <c r="D103" s="293">
        <f>G51+G54</f>
        <v>20.7</v>
      </c>
      <c r="E103" s="295"/>
      <c r="F103" s="295" t="s">
        <v>434</v>
      </c>
      <c r="G103" s="296">
        <f>SUM(G12:G14,G29:G31,G46:G48,G51:G54,G62:G64,G67:G71,G80:G87,G90:G92)</f>
        <v>953.10000000000014</v>
      </c>
      <c r="H103" s="295" t="s">
        <v>648</v>
      </c>
      <c r="I103" s="295">
        <v>946.1</v>
      </c>
      <c r="J103" s="262"/>
      <c r="K103" s="262"/>
    </row>
    <row r="104" spans="2:11">
      <c r="B104" s="262"/>
      <c r="C104" s="292" t="s">
        <v>654</v>
      </c>
      <c r="D104" s="293">
        <f>G55+G57+G60</f>
        <v>63.5</v>
      </c>
      <c r="E104" s="295"/>
      <c r="F104" s="295" t="s">
        <v>446</v>
      </c>
      <c r="G104" s="296">
        <f>SUM(G15:G16,G21:G28,G32:G33,G38:G45,G49:G50,G55:G61,G65:G66,G72:G73,G78:G79,G88:G89,G93:G94)</f>
        <v>406</v>
      </c>
      <c r="H104" s="295" t="s">
        <v>648</v>
      </c>
      <c r="I104" s="295">
        <v>250.2</v>
      </c>
      <c r="J104" s="262"/>
      <c r="K104" s="262"/>
    </row>
    <row r="105" spans="2:11">
      <c r="B105" s="262"/>
      <c r="C105" s="292" t="s">
        <v>655</v>
      </c>
      <c r="D105" s="293">
        <f>G62+G65</f>
        <v>37.5</v>
      </c>
      <c r="E105" s="295"/>
      <c r="F105" s="295" t="s">
        <v>647</v>
      </c>
      <c r="G105" s="296">
        <f>SUM(G17:G20,G34:G37,G74:G77)</f>
        <v>32.799999999999997</v>
      </c>
      <c r="H105" s="295" t="s">
        <v>648</v>
      </c>
      <c r="I105" s="295"/>
      <c r="J105" s="262"/>
      <c r="K105" s="262"/>
    </row>
    <row r="106" spans="2:11">
      <c r="B106" s="262"/>
      <c r="C106" s="292" t="s">
        <v>656</v>
      </c>
      <c r="D106" s="293">
        <f>G67+G69+G70+G72+G74+G76+G78</f>
        <v>263.7</v>
      </c>
      <c r="E106" s="295"/>
      <c r="F106" s="297" t="s">
        <v>591</v>
      </c>
      <c r="G106" s="298">
        <f>G103+G104+G105</f>
        <v>1391.9</v>
      </c>
      <c r="H106" s="297" t="s">
        <v>648</v>
      </c>
      <c r="I106" s="295">
        <f>I103+I104</f>
        <v>1196.3</v>
      </c>
      <c r="J106" s="262"/>
      <c r="K106" s="262"/>
    </row>
    <row r="107" spans="2:11">
      <c r="B107" s="262"/>
      <c r="C107" s="292" t="s">
        <v>657</v>
      </c>
      <c r="D107" s="293">
        <f>G80</f>
        <v>18.5</v>
      </c>
      <c r="E107" s="295"/>
      <c r="F107" s="295"/>
      <c r="G107" s="295"/>
      <c r="H107" s="295"/>
      <c r="I107" s="295"/>
      <c r="J107" s="262"/>
      <c r="K107" s="262"/>
    </row>
    <row r="108" spans="2:11">
      <c r="B108" s="262"/>
      <c r="C108" s="292" t="s">
        <v>658</v>
      </c>
      <c r="D108" s="293">
        <f>G82</f>
        <v>7.5</v>
      </c>
      <c r="E108" s="295"/>
      <c r="F108" s="295"/>
      <c r="G108" s="295"/>
      <c r="H108" s="295"/>
      <c r="I108" s="295"/>
      <c r="J108" s="262"/>
      <c r="K108" s="262"/>
    </row>
    <row r="109" spans="2:11">
      <c r="B109" s="262"/>
      <c r="C109" s="292" t="s">
        <v>659</v>
      </c>
      <c r="D109" s="293">
        <f>G84+G86+G88</f>
        <v>35.700000000000003</v>
      </c>
      <c r="E109" s="295"/>
      <c r="F109" s="295"/>
      <c r="G109" s="295"/>
      <c r="H109" s="295"/>
      <c r="I109" s="295"/>
      <c r="J109" s="262"/>
      <c r="K109" s="262"/>
    </row>
    <row r="110" spans="2:11">
      <c r="B110" s="262"/>
      <c r="C110" s="292" t="s">
        <v>660</v>
      </c>
      <c r="D110" s="293">
        <f>G90+G93</f>
        <v>18</v>
      </c>
      <c r="E110" s="262"/>
      <c r="F110" s="262"/>
      <c r="G110" s="262"/>
      <c r="H110" s="262"/>
      <c r="I110" s="262"/>
      <c r="J110" s="262"/>
      <c r="K110" s="262"/>
    </row>
    <row r="111" spans="2:11">
      <c r="B111" s="262"/>
      <c r="C111" s="262"/>
      <c r="D111" s="294">
        <f>SUM(D100:D110)</f>
        <v>670.8</v>
      </c>
      <c r="E111" s="262"/>
      <c r="F111" s="262"/>
      <c r="G111" s="262"/>
      <c r="H111" s="262"/>
      <c r="I111" s="262"/>
      <c r="J111" s="262"/>
      <c r="K111" s="262"/>
    </row>
    <row r="112" spans="2:11"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</row>
    <row r="113" spans="2:11"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</row>
    <row r="114" spans="2:11">
      <c r="B114" s="262"/>
      <c r="C114" s="262"/>
      <c r="D114" s="262"/>
      <c r="E114" s="262"/>
      <c r="F114" s="262"/>
      <c r="G114" s="262"/>
      <c r="H114" s="262"/>
      <c r="I114" s="262"/>
      <c r="J114" s="262"/>
      <c r="K114" s="262"/>
    </row>
  </sheetData>
  <mergeCells count="10">
    <mergeCell ref="B9:B10"/>
    <mergeCell ref="C9:C10"/>
    <mergeCell ref="F9:F10"/>
    <mergeCell ref="D9:D10"/>
    <mergeCell ref="K9:U9"/>
    <mergeCell ref="G9:G10"/>
    <mergeCell ref="I9:I10"/>
    <mergeCell ref="J9:J10"/>
    <mergeCell ref="E9:E10"/>
    <mergeCell ref="H9:H1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6"/>
  <sheetViews>
    <sheetView workbookViewId="0">
      <selection activeCell="F13" sqref="F13"/>
    </sheetView>
  </sheetViews>
  <sheetFormatPr defaultRowHeight="15"/>
  <cols>
    <col min="2" max="2" width="28.28515625" customWidth="1"/>
    <col min="3" max="3" width="12.42578125" customWidth="1"/>
    <col min="4" max="4" width="17" customWidth="1"/>
    <col min="6" max="6" width="15.42578125" customWidth="1"/>
    <col min="7" max="7" width="18.42578125" customWidth="1"/>
  </cols>
  <sheetData>
    <row r="2" spans="1:10" ht="16.5">
      <c r="G2" s="13" t="s">
        <v>184</v>
      </c>
    </row>
    <row r="3" spans="1:10" ht="16.5">
      <c r="B3" s="1"/>
    </row>
    <row r="4" spans="1:10" ht="16.5">
      <c r="B4" s="7" t="s">
        <v>185</v>
      </c>
    </row>
    <row r="5" spans="1:10" ht="17.25" thickBot="1">
      <c r="B5" s="1"/>
    </row>
    <row r="6" spans="1:10" ht="51.75" thickBot="1">
      <c r="A6" s="60"/>
      <c r="B6" s="11" t="s">
        <v>186</v>
      </c>
      <c r="C6" s="11" t="s">
        <v>172</v>
      </c>
      <c r="D6" s="12" t="s">
        <v>335</v>
      </c>
      <c r="E6" s="11" t="s">
        <v>187</v>
      </c>
      <c r="F6" s="12" t="s">
        <v>334</v>
      </c>
      <c r="G6" s="12" t="s">
        <v>333</v>
      </c>
    </row>
    <row r="7" spans="1:10" ht="15.75" thickBot="1">
      <c r="B7" s="9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1:10" ht="30.75" thickBot="1">
      <c r="B8" s="156" t="s">
        <v>540</v>
      </c>
      <c r="C8" s="157" t="s">
        <v>467</v>
      </c>
      <c r="D8" s="156" t="s">
        <v>543</v>
      </c>
      <c r="E8" s="9"/>
      <c r="F8" s="158" t="s">
        <v>469</v>
      </c>
      <c r="G8" s="155">
        <f>C8*D8*F8</f>
        <v>11196</v>
      </c>
    </row>
    <row r="9" spans="1:10" ht="30.75" thickBot="1">
      <c r="B9" s="156" t="s">
        <v>540</v>
      </c>
      <c r="C9" s="157" t="s">
        <v>467</v>
      </c>
      <c r="D9" s="156" t="s">
        <v>543</v>
      </c>
      <c r="E9" s="119"/>
      <c r="F9" s="158" t="s">
        <v>469</v>
      </c>
      <c r="G9" s="155">
        <f t="shared" ref="G9:G15" si="0">C9*D9*F9</f>
        <v>11196</v>
      </c>
    </row>
    <row r="10" spans="1:10" ht="30.75" thickBot="1">
      <c r="B10" s="156" t="s">
        <v>540</v>
      </c>
      <c r="C10" s="157" t="s">
        <v>454</v>
      </c>
      <c r="D10" s="156" t="s">
        <v>543</v>
      </c>
      <c r="E10" s="119"/>
      <c r="F10" s="158" t="s">
        <v>469</v>
      </c>
      <c r="G10" s="155">
        <f t="shared" si="0"/>
        <v>5598</v>
      </c>
    </row>
    <row r="11" spans="1:10" ht="15.75" thickBot="1">
      <c r="B11" s="156" t="s">
        <v>541</v>
      </c>
      <c r="C11" s="157" t="s">
        <v>467</v>
      </c>
      <c r="D11" s="156" t="s">
        <v>544</v>
      </c>
      <c r="E11" s="119"/>
      <c r="F11" s="158" t="s">
        <v>455</v>
      </c>
      <c r="G11" s="155">
        <f t="shared" si="0"/>
        <v>1405.44</v>
      </c>
    </row>
    <row r="12" spans="1:10" ht="30.75" thickBot="1">
      <c r="B12" s="156" t="s">
        <v>540</v>
      </c>
      <c r="C12" s="157" t="s">
        <v>454</v>
      </c>
      <c r="D12" s="156" t="s">
        <v>543</v>
      </c>
      <c r="E12" s="119"/>
      <c r="F12" s="158" t="s">
        <v>469</v>
      </c>
      <c r="G12" s="155">
        <f t="shared" si="0"/>
        <v>5598</v>
      </c>
      <c r="J12" s="200"/>
    </row>
    <row r="13" spans="1:10" ht="30.75" thickBot="1">
      <c r="B13" s="156" t="s">
        <v>542</v>
      </c>
      <c r="C13" s="157" t="s">
        <v>454</v>
      </c>
      <c r="D13" s="156" t="s">
        <v>544</v>
      </c>
      <c r="E13" s="119"/>
      <c r="F13" s="158" t="s">
        <v>455</v>
      </c>
      <c r="G13" s="155">
        <f t="shared" si="0"/>
        <v>702.72</v>
      </c>
    </row>
    <row r="14" spans="1:10" ht="30.75" thickBot="1">
      <c r="B14" s="156" t="s">
        <v>540</v>
      </c>
      <c r="C14" s="157" t="s">
        <v>454</v>
      </c>
      <c r="D14" s="156" t="s">
        <v>543</v>
      </c>
      <c r="E14" s="119"/>
      <c r="F14" s="158" t="s">
        <v>469</v>
      </c>
      <c r="G14" s="155">
        <f t="shared" si="0"/>
        <v>5598</v>
      </c>
    </row>
    <row r="15" spans="1:10" ht="30.75" thickBot="1">
      <c r="B15" s="156" t="s">
        <v>540</v>
      </c>
      <c r="C15" s="157" t="s">
        <v>467</v>
      </c>
      <c r="D15" s="156" t="s">
        <v>543</v>
      </c>
      <c r="E15" s="119"/>
      <c r="F15" s="158" t="s">
        <v>469</v>
      </c>
      <c r="G15" s="155">
        <f t="shared" si="0"/>
        <v>11196</v>
      </c>
    </row>
    <row r="16" spans="1:10" ht="15.75" thickBot="1">
      <c r="B16" s="6"/>
      <c r="C16" s="5"/>
      <c r="D16" s="5"/>
      <c r="E16" s="5"/>
      <c r="F16" s="5"/>
      <c r="G16" s="155">
        <f>SUM(G7:G15)</f>
        <v>52496.160000000003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O34"/>
  <sheetViews>
    <sheetView topLeftCell="A4" zoomScale="85" zoomScaleNormal="85" workbookViewId="0">
      <selection activeCell="B9" sqref="B9:O9"/>
    </sheetView>
  </sheetViews>
  <sheetFormatPr defaultRowHeight="15"/>
  <cols>
    <col min="2" max="2" width="16.85546875" customWidth="1"/>
  </cols>
  <sheetData>
    <row r="2" spans="2:15" ht="16.5">
      <c r="O2" s="13" t="s">
        <v>188</v>
      </c>
    </row>
    <row r="3" spans="2:15" ht="16.5">
      <c r="B3" s="21"/>
    </row>
    <row r="4" spans="2:15" ht="16.5">
      <c r="F4" s="7" t="s">
        <v>189</v>
      </c>
    </row>
    <row r="5" spans="2:15" ht="15.75" thickBot="1">
      <c r="F5" s="79" t="s">
        <v>358</v>
      </c>
      <c r="G5" s="79"/>
      <c r="H5" s="79"/>
      <c r="I5" s="79"/>
      <c r="J5" s="79"/>
      <c r="K5" s="79"/>
      <c r="L5" s="79"/>
    </row>
    <row r="6" spans="2:15" ht="15.75" thickBot="1">
      <c r="B6" s="27" t="s">
        <v>39</v>
      </c>
      <c r="C6" s="301" t="s">
        <v>191</v>
      </c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3"/>
    </row>
    <row r="7" spans="2:15" ht="26.25" thickBot="1">
      <c r="B7" s="29" t="s">
        <v>190</v>
      </c>
      <c r="C7" s="2" t="s">
        <v>192</v>
      </c>
      <c r="D7" s="10" t="s">
        <v>193</v>
      </c>
      <c r="E7" s="10" t="s">
        <v>194</v>
      </c>
      <c r="F7" s="10" t="s">
        <v>195</v>
      </c>
      <c r="G7" s="10" t="s">
        <v>196</v>
      </c>
      <c r="H7" s="10" t="s">
        <v>197</v>
      </c>
      <c r="I7" s="10" t="s">
        <v>198</v>
      </c>
      <c r="J7" s="10" t="s">
        <v>199</v>
      </c>
      <c r="K7" s="10" t="s">
        <v>200</v>
      </c>
      <c r="L7" s="10" t="s">
        <v>201</v>
      </c>
      <c r="M7" s="10" t="s">
        <v>202</v>
      </c>
      <c r="N7" s="10" t="s">
        <v>203</v>
      </c>
      <c r="O7" s="10" t="s">
        <v>204</v>
      </c>
    </row>
    <row r="8" spans="2:15" ht="15.75" thickBot="1">
      <c r="B8" s="29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</row>
    <row r="9" spans="2:15">
      <c r="B9" s="342" t="s">
        <v>545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</row>
    <row r="10" spans="2:15">
      <c r="B10" s="159" t="s">
        <v>546</v>
      </c>
      <c r="C10" s="160">
        <v>99521</v>
      </c>
      <c r="D10" s="160">
        <v>91567</v>
      </c>
      <c r="E10" s="160">
        <v>85810</v>
      </c>
      <c r="F10" s="160">
        <v>91386</v>
      </c>
      <c r="G10" s="160">
        <v>89819</v>
      </c>
      <c r="H10" s="160">
        <v>64770</v>
      </c>
      <c r="I10" s="160">
        <v>19706</v>
      </c>
      <c r="J10" s="160">
        <v>15466</v>
      </c>
      <c r="K10" s="160">
        <v>61791</v>
      </c>
      <c r="L10" s="160">
        <v>99505</v>
      </c>
      <c r="M10" s="160">
        <v>90296</v>
      </c>
      <c r="N10" s="160">
        <v>92427</v>
      </c>
      <c r="O10" s="161">
        <f>SUM(C10:N10)</f>
        <v>902064</v>
      </c>
    </row>
    <row r="11" spans="2:15">
      <c r="B11" s="159" t="s">
        <v>547</v>
      </c>
      <c r="C11" s="160">
        <v>60939</v>
      </c>
      <c r="D11" s="160">
        <v>56578</v>
      </c>
      <c r="E11" s="160">
        <v>53547</v>
      </c>
      <c r="F11" s="160">
        <v>57206</v>
      </c>
      <c r="G11" s="160">
        <v>56504</v>
      </c>
      <c r="H11" s="160">
        <v>46350</v>
      </c>
      <c r="I11" s="160">
        <v>15897</v>
      </c>
      <c r="J11" s="160">
        <v>10758</v>
      </c>
      <c r="K11" s="160">
        <v>42087</v>
      </c>
      <c r="L11" s="160">
        <v>66850</v>
      </c>
      <c r="M11" s="160">
        <v>61202</v>
      </c>
      <c r="N11" s="160">
        <v>62868</v>
      </c>
      <c r="O11" s="161">
        <f t="shared" ref="O11:O20" si="0">SUM(C11:N11)</f>
        <v>590786</v>
      </c>
    </row>
    <row r="12" spans="2:15">
      <c r="B12" s="159" t="s">
        <v>548</v>
      </c>
      <c r="C12" s="160">
        <v>23080</v>
      </c>
      <c r="D12" s="160">
        <v>20943</v>
      </c>
      <c r="E12" s="160">
        <v>19439</v>
      </c>
      <c r="F12" s="160">
        <v>20854</v>
      </c>
      <c r="G12" s="160">
        <v>21546</v>
      </c>
      <c r="H12" s="160">
        <v>20643</v>
      </c>
      <c r="I12" s="160">
        <v>1535</v>
      </c>
      <c r="J12" s="160">
        <v>722</v>
      </c>
      <c r="K12" s="160">
        <v>13602</v>
      </c>
      <c r="L12" s="160">
        <v>23261</v>
      </c>
      <c r="M12" s="160">
        <v>20884</v>
      </c>
      <c r="N12" s="160">
        <v>21336</v>
      </c>
      <c r="O12" s="161">
        <f t="shared" si="0"/>
        <v>207845</v>
      </c>
    </row>
    <row r="13" spans="2:15">
      <c r="B13" s="159" t="s">
        <v>549</v>
      </c>
      <c r="C13" s="160">
        <v>26108</v>
      </c>
      <c r="D13" s="160">
        <v>23729</v>
      </c>
      <c r="E13" s="160">
        <v>22031</v>
      </c>
      <c r="F13" s="160">
        <v>23768</v>
      </c>
      <c r="G13" s="160">
        <v>23820</v>
      </c>
      <c r="H13" s="160">
        <v>17804</v>
      </c>
      <c r="I13" s="160">
        <v>567</v>
      </c>
      <c r="J13" s="160">
        <v>113</v>
      </c>
      <c r="K13" s="160">
        <v>12543</v>
      </c>
      <c r="L13" s="160">
        <v>16145</v>
      </c>
      <c r="M13" s="160">
        <v>14382</v>
      </c>
      <c r="N13" s="160">
        <v>17167</v>
      </c>
      <c r="O13" s="161">
        <f t="shared" si="0"/>
        <v>198177</v>
      </c>
    </row>
    <row r="14" spans="2:15">
      <c r="B14" s="159" t="s">
        <v>550</v>
      </c>
      <c r="C14" s="160">
        <v>36536</v>
      </c>
      <c r="D14" s="160">
        <v>32854</v>
      </c>
      <c r="E14" s="160">
        <v>33515</v>
      </c>
      <c r="F14" s="160">
        <v>35610</v>
      </c>
      <c r="G14" s="160">
        <v>34383</v>
      </c>
      <c r="H14" s="160">
        <v>32393</v>
      </c>
      <c r="I14" s="160">
        <v>6090</v>
      </c>
      <c r="J14" s="160">
        <v>4861</v>
      </c>
      <c r="K14" s="160">
        <v>22217</v>
      </c>
      <c r="L14" s="160">
        <v>33421</v>
      </c>
      <c r="M14" s="160">
        <v>29482</v>
      </c>
      <c r="N14" s="160">
        <v>31474</v>
      </c>
      <c r="O14" s="161">
        <f t="shared" si="0"/>
        <v>332836</v>
      </c>
    </row>
    <row r="15" spans="2:15">
      <c r="B15" s="159" t="s">
        <v>551</v>
      </c>
      <c r="C15" s="160">
        <v>42728</v>
      </c>
      <c r="D15" s="160">
        <v>39201</v>
      </c>
      <c r="E15" s="160">
        <v>36546</v>
      </c>
      <c r="F15" s="160">
        <v>39138</v>
      </c>
      <c r="G15" s="160">
        <v>36518</v>
      </c>
      <c r="H15" s="160">
        <v>27910</v>
      </c>
      <c r="I15" s="160">
        <v>5130</v>
      </c>
      <c r="J15" s="160">
        <v>1991</v>
      </c>
      <c r="K15" s="160">
        <v>24351</v>
      </c>
      <c r="L15" s="160">
        <v>40556</v>
      </c>
      <c r="M15" s="160">
        <v>38053</v>
      </c>
      <c r="N15" s="160">
        <v>39316</v>
      </c>
      <c r="O15" s="161">
        <f t="shared" si="0"/>
        <v>371438</v>
      </c>
    </row>
    <row r="16" spans="2:15">
      <c r="B16" s="159" t="s">
        <v>552</v>
      </c>
      <c r="C16" s="160">
        <v>61786</v>
      </c>
      <c r="D16" s="160">
        <v>54778</v>
      </c>
      <c r="E16" s="160">
        <v>52461</v>
      </c>
      <c r="F16" s="160">
        <v>56729</v>
      </c>
      <c r="G16" s="160">
        <v>57737</v>
      </c>
      <c r="H16" s="160">
        <v>54357</v>
      </c>
      <c r="I16" s="160">
        <v>11051</v>
      </c>
      <c r="J16" s="160">
        <v>7856</v>
      </c>
      <c r="K16" s="160">
        <v>39131</v>
      </c>
      <c r="L16" s="160">
        <v>60925</v>
      </c>
      <c r="M16" s="160">
        <v>55217</v>
      </c>
      <c r="N16" s="160">
        <v>60372</v>
      </c>
      <c r="O16" s="161">
        <f t="shared" si="0"/>
        <v>572400</v>
      </c>
    </row>
    <row r="17" spans="2:15">
      <c r="B17" s="159" t="s">
        <v>553</v>
      </c>
      <c r="C17" s="160">
        <v>19949</v>
      </c>
      <c r="D17" s="160">
        <v>17619</v>
      </c>
      <c r="E17" s="160">
        <v>18028</v>
      </c>
      <c r="F17" s="160">
        <v>15292</v>
      </c>
      <c r="G17" s="160">
        <v>15836</v>
      </c>
      <c r="H17" s="160">
        <v>14660</v>
      </c>
      <c r="I17" s="160">
        <v>665</v>
      </c>
      <c r="J17" s="160">
        <v>97</v>
      </c>
      <c r="K17" s="160">
        <v>6952</v>
      </c>
      <c r="L17" s="160">
        <v>17765</v>
      </c>
      <c r="M17" s="160">
        <v>17310</v>
      </c>
      <c r="N17" s="160">
        <v>18032</v>
      </c>
      <c r="O17" s="161">
        <f t="shared" si="0"/>
        <v>162205</v>
      </c>
    </row>
    <row r="18" spans="2:15">
      <c r="B18" s="159" t="s">
        <v>554</v>
      </c>
      <c r="C18" s="160">
        <v>5791</v>
      </c>
      <c r="D18" s="160">
        <v>5184</v>
      </c>
      <c r="E18" s="160">
        <v>5083</v>
      </c>
      <c r="F18" s="160">
        <v>5328</v>
      </c>
      <c r="G18" s="160">
        <v>5343</v>
      </c>
      <c r="H18" s="160">
        <v>4820</v>
      </c>
      <c r="I18" s="160">
        <v>160</v>
      </c>
      <c r="J18" s="160">
        <v>0</v>
      </c>
      <c r="K18" s="160">
        <v>1021</v>
      </c>
      <c r="L18" s="160">
        <v>4901</v>
      </c>
      <c r="M18" s="160">
        <v>4901</v>
      </c>
      <c r="N18" s="160">
        <v>5042</v>
      </c>
      <c r="O18" s="161">
        <f t="shared" si="0"/>
        <v>47574</v>
      </c>
    </row>
    <row r="19" spans="2:15">
      <c r="B19" s="159" t="s">
        <v>555</v>
      </c>
      <c r="C19" s="160">
        <v>18466</v>
      </c>
      <c r="D19" s="160">
        <v>15781</v>
      </c>
      <c r="E19" s="160">
        <v>15872</v>
      </c>
      <c r="F19" s="160">
        <v>16777</v>
      </c>
      <c r="G19" s="160">
        <v>17984</v>
      </c>
      <c r="H19" s="160">
        <v>17048</v>
      </c>
      <c r="I19" s="160">
        <v>3138</v>
      </c>
      <c r="J19" s="160">
        <v>2233</v>
      </c>
      <c r="K19" s="160">
        <v>5914</v>
      </c>
      <c r="L19" s="160">
        <v>18527</v>
      </c>
      <c r="M19" s="160">
        <v>16626</v>
      </c>
      <c r="N19" s="160">
        <v>17018</v>
      </c>
      <c r="O19" s="161">
        <f t="shared" si="0"/>
        <v>165384</v>
      </c>
    </row>
    <row r="20" spans="2:15">
      <c r="B20" s="159" t="s">
        <v>556</v>
      </c>
      <c r="C20" s="160">
        <v>21108</v>
      </c>
      <c r="D20" s="160">
        <v>18374</v>
      </c>
      <c r="E20" s="160">
        <v>17670</v>
      </c>
      <c r="F20" s="160">
        <v>19524</v>
      </c>
      <c r="G20" s="160">
        <v>18786</v>
      </c>
      <c r="H20" s="160">
        <v>14078</v>
      </c>
      <c r="I20" s="160">
        <v>2252</v>
      </c>
      <c r="J20" s="160">
        <v>590</v>
      </c>
      <c r="K20" s="160">
        <v>12651</v>
      </c>
      <c r="L20" s="160">
        <v>20262</v>
      </c>
      <c r="M20" s="160">
        <v>16605</v>
      </c>
      <c r="N20" s="160">
        <v>17100</v>
      </c>
      <c r="O20" s="161">
        <f t="shared" si="0"/>
        <v>179000</v>
      </c>
    </row>
    <row r="21" spans="2:15" ht="15.75" thickBot="1">
      <c r="B21" s="162"/>
      <c r="C21" s="163">
        <f>SUM(C10:C20)</f>
        <v>416012</v>
      </c>
      <c r="D21" s="163">
        <f t="shared" ref="D21:O21" si="1">SUM(D10:D20)</f>
        <v>376608</v>
      </c>
      <c r="E21" s="163">
        <f t="shared" si="1"/>
        <v>360002</v>
      </c>
      <c r="F21" s="163">
        <f t="shared" si="1"/>
        <v>381612</v>
      </c>
      <c r="G21" s="163">
        <f t="shared" si="1"/>
        <v>378276</v>
      </c>
      <c r="H21" s="163">
        <f t="shared" si="1"/>
        <v>314833</v>
      </c>
      <c r="I21" s="163">
        <f t="shared" si="1"/>
        <v>66191</v>
      </c>
      <c r="J21" s="163">
        <f t="shared" si="1"/>
        <v>44687</v>
      </c>
      <c r="K21" s="163">
        <f t="shared" si="1"/>
        <v>242260</v>
      </c>
      <c r="L21" s="163">
        <f t="shared" si="1"/>
        <v>402118</v>
      </c>
      <c r="M21" s="163">
        <f t="shared" si="1"/>
        <v>364958</v>
      </c>
      <c r="N21" s="163">
        <f t="shared" si="1"/>
        <v>382152</v>
      </c>
      <c r="O21" s="163">
        <f t="shared" si="1"/>
        <v>3729709</v>
      </c>
    </row>
    <row r="22" spans="2:15">
      <c r="B22" s="343" t="s">
        <v>557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</row>
    <row r="23" spans="2:15">
      <c r="B23" s="159" t="s">
        <v>546</v>
      </c>
      <c r="C23" s="160">
        <v>98548</v>
      </c>
      <c r="D23" s="160">
        <v>97997</v>
      </c>
      <c r="E23" s="160">
        <v>87022</v>
      </c>
      <c r="F23" s="160">
        <v>95266</v>
      </c>
      <c r="G23" s="160">
        <v>65816</v>
      </c>
      <c r="H23" s="160">
        <v>58711</v>
      </c>
      <c r="I23" s="160">
        <v>17839</v>
      </c>
      <c r="J23" s="160">
        <v>16803</v>
      </c>
      <c r="K23" s="160">
        <v>53844</v>
      </c>
      <c r="L23" s="160">
        <v>66773</v>
      </c>
      <c r="M23" s="160">
        <v>94561</v>
      </c>
      <c r="N23" s="160">
        <v>92421</v>
      </c>
      <c r="O23" s="161">
        <f>SUM(C23:N23)</f>
        <v>845601</v>
      </c>
    </row>
    <row r="24" spans="2:15">
      <c r="B24" s="159" t="s">
        <v>547</v>
      </c>
      <c r="C24" s="160">
        <v>73204</v>
      </c>
      <c r="D24" s="160">
        <v>73817</v>
      </c>
      <c r="E24" s="160">
        <v>66298</v>
      </c>
      <c r="F24" s="160">
        <v>74039</v>
      </c>
      <c r="G24" s="160">
        <v>50181</v>
      </c>
      <c r="H24" s="160">
        <v>43612</v>
      </c>
      <c r="I24" s="160">
        <v>6201</v>
      </c>
      <c r="J24" s="160">
        <v>8417</v>
      </c>
      <c r="K24" s="160">
        <v>41490</v>
      </c>
      <c r="L24" s="160">
        <v>51528</v>
      </c>
      <c r="M24" s="160">
        <v>66669</v>
      </c>
      <c r="N24" s="160">
        <v>57385</v>
      </c>
      <c r="O24" s="161">
        <f t="shared" ref="O24:O33" si="2">SUM(C24:N24)</f>
        <v>612841</v>
      </c>
    </row>
    <row r="25" spans="2:15">
      <c r="B25" s="159" t="s">
        <v>548</v>
      </c>
      <c r="C25" s="160">
        <v>35243</v>
      </c>
      <c r="D25" s="160">
        <v>34641</v>
      </c>
      <c r="E25" s="160">
        <v>31655</v>
      </c>
      <c r="F25" s="160">
        <v>34573</v>
      </c>
      <c r="G25" s="160">
        <v>32708</v>
      </c>
      <c r="H25" s="160">
        <v>35596</v>
      </c>
      <c r="I25" s="160">
        <v>1716</v>
      </c>
      <c r="J25" s="160">
        <v>4213</v>
      </c>
      <c r="K25" s="160">
        <v>31210</v>
      </c>
      <c r="L25" s="160">
        <v>32560</v>
      </c>
      <c r="M25" s="160">
        <v>27775</v>
      </c>
      <c r="N25" s="160">
        <v>20885</v>
      </c>
      <c r="O25" s="161">
        <f t="shared" si="2"/>
        <v>322775</v>
      </c>
    </row>
    <row r="26" spans="2:15">
      <c r="B26" s="159" t="s">
        <v>549</v>
      </c>
      <c r="C26" s="160">
        <v>24752</v>
      </c>
      <c r="D26" s="160">
        <v>24608</v>
      </c>
      <c r="E26" s="160">
        <v>20695</v>
      </c>
      <c r="F26" s="160">
        <v>24208</v>
      </c>
      <c r="G26" s="160">
        <v>17685</v>
      </c>
      <c r="H26" s="160">
        <v>16167</v>
      </c>
      <c r="I26" s="160">
        <v>971</v>
      </c>
      <c r="J26" s="160">
        <v>1728</v>
      </c>
      <c r="K26" s="160">
        <v>14270</v>
      </c>
      <c r="L26" s="160">
        <v>16991</v>
      </c>
      <c r="M26" s="160">
        <v>24209</v>
      </c>
      <c r="N26" s="160">
        <v>23562</v>
      </c>
      <c r="O26" s="161">
        <f t="shared" si="2"/>
        <v>209846</v>
      </c>
    </row>
    <row r="27" spans="2:15">
      <c r="B27" s="159" t="s">
        <v>550</v>
      </c>
      <c r="C27" s="160">
        <v>54544</v>
      </c>
      <c r="D27" s="160">
        <v>54233</v>
      </c>
      <c r="E27" s="160">
        <v>46475</v>
      </c>
      <c r="F27" s="160">
        <v>51740</v>
      </c>
      <c r="G27" s="160">
        <v>49644</v>
      </c>
      <c r="H27" s="160">
        <v>62688</v>
      </c>
      <c r="I27" s="160">
        <v>6039</v>
      </c>
      <c r="J27" s="160">
        <v>3840</v>
      </c>
      <c r="K27" s="160">
        <v>37670</v>
      </c>
      <c r="L27" s="160">
        <v>49932</v>
      </c>
      <c r="M27" s="160">
        <v>49540</v>
      </c>
      <c r="N27" s="160">
        <v>32332</v>
      </c>
      <c r="O27" s="161">
        <f t="shared" si="2"/>
        <v>498677</v>
      </c>
    </row>
    <row r="28" spans="2:15">
      <c r="B28" s="159" t="s">
        <v>551</v>
      </c>
      <c r="C28" s="160">
        <v>39049</v>
      </c>
      <c r="D28" s="160">
        <v>38716</v>
      </c>
      <c r="E28" s="160">
        <v>34905</v>
      </c>
      <c r="F28" s="160">
        <v>38526</v>
      </c>
      <c r="G28" s="160">
        <v>28178</v>
      </c>
      <c r="H28" s="160">
        <v>27281</v>
      </c>
      <c r="I28" s="160">
        <v>4225</v>
      </c>
      <c r="J28" s="160">
        <v>4767</v>
      </c>
      <c r="K28" s="160">
        <v>23937</v>
      </c>
      <c r="L28" s="160">
        <v>28945</v>
      </c>
      <c r="M28" s="160">
        <v>40769</v>
      </c>
      <c r="N28" s="160">
        <v>37662</v>
      </c>
      <c r="O28" s="161">
        <f t="shared" si="2"/>
        <v>346960</v>
      </c>
    </row>
    <row r="29" spans="2:15">
      <c r="B29" s="159" t="s">
        <v>552</v>
      </c>
      <c r="C29" s="160">
        <v>59753</v>
      </c>
      <c r="D29" s="160">
        <v>59693</v>
      </c>
      <c r="E29" s="160">
        <v>56321</v>
      </c>
      <c r="F29" s="160">
        <v>59533</v>
      </c>
      <c r="G29" s="160">
        <v>55834</v>
      </c>
      <c r="H29" s="160">
        <v>60819</v>
      </c>
      <c r="I29" s="160">
        <v>12772</v>
      </c>
      <c r="J29" s="160">
        <v>15658</v>
      </c>
      <c r="K29" s="160">
        <v>56872</v>
      </c>
      <c r="L29" s="160">
        <v>58944</v>
      </c>
      <c r="M29" s="160">
        <v>59763</v>
      </c>
      <c r="N29" s="160">
        <v>57946</v>
      </c>
      <c r="O29" s="161">
        <f t="shared" si="2"/>
        <v>613908</v>
      </c>
    </row>
    <row r="30" spans="2:15">
      <c r="B30" s="159" t="s">
        <v>553</v>
      </c>
      <c r="C30" s="160">
        <v>19373</v>
      </c>
      <c r="D30" s="160">
        <v>19418</v>
      </c>
      <c r="E30" s="160">
        <v>17455</v>
      </c>
      <c r="F30" s="160">
        <v>18986</v>
      </c>
      <c r="G30" s="160">
        <v>17017</v>
      </c>
      <c r="H30" s="160">
        <v>16808</v>
      </c>
      <c r="I30" s="160">
        <v>2124</v>
      </c>
      <c r="J30" s="160">
        <v>1447</v>
      </c>
      <c r="K30" s="160">
        <v>12056</v>
      </c>
      <c r="L30" s="160">
        <v>16772</v>
      </c>
      <c r="M30" s="160">
        <v>19067</v>
      </c>
      <c r="N30" s="160">
        <v>17177</v>
      </c>
      <c r="O30" s="161">
        <f t="shared" si="2"/>
        <v>177700</v>
      </c>
    </row>
    <row r="31" spans="2:15">
      <c r="B31" s="159" t="s">
        <v>554</v>
      </c>
      <c r="C31" s="160">
        <v>5383</v>
      </c>
      <c r="D31" s="160">
        <v>5741</v>
      </c>
      <c r="E31" s="160">
        <v>4983</v>
      </c>
      <c r="F31" s="160">
        <v>5452</v>
      </c>
      <c r="G31" s="160">
        <v>5058</v>
      </c>
      <c r="H31" s="160">
        <v>4825</v>
      </c>
      <c r="I31" s="160">
        <v>209</v>
      </c>
      <c r="J31" s="160">
        <v>29</v>
      </c>
      <c r="K31" s="160">
        <v>1379</v>
      </c>
      <c r="L31" s="160">
        <v>5345</v>
      </c>
      <c r="M31" s="160">
        <v>5701</v>
      </c>
      <c r="N31" s="160">
        <v>5165</v>
      </c>
      <c r="O31" s="161">
        <f t="shared" si="2"/>
        <v>49270</v>
      </c>
    </row>
    <row r="32" spans="2:15">
      <c r="B32" s="159" t="s">
        <v>555</v>
      </c>
      <c r="C32" s="160">
        <v>17018</v>
      </c>
      <c r="D32" s="160">
        <v>16867</v>
      </c>
      <c r="E32" s="160">
        <v>15271</v>
      </c>
      <c r="F32" s="160">
        <v>16871</v>
      </c>
      <c r="G32" s="160">
        <v>16116</v>
      </c>
      <c r="H32" s="160">
        <v>17142</v>
      </c>
      <c r="I32" s="160">
        <v>2837</v>
      </c>
      <c r="J32" s="160">
        <v>2444</v>
      </c>
      <c r="K32" s="160">
        <v>9505</v>
      </c>
      <c r="L32" s="160">
        <v>17078</v>
      </c>
      <c r="M32" s="160">
        <v>17833</v>
      </c>
      <c r="N32" s="160">
        <v>16988</v>
      </c>
      <c r="O32" s="161">
        <f t="shared" si="2"/>
        <v>165970</v>
      </c>
    </row>
    <row r="33" spans="2:15">
      <c r="B33" s="159" t="s">
        <v>556</v>
      </c>
      <c r="C33" s="160">
        <v>19694</v>
      </c>
      <c r="D33" s="160">
        <v>18133</v>
      </c>
      <c r="E33" s="160">
        <v>16530</v>
      </c>
      <c r="F33" s="160">
        <v>17992</v>
      </c>
      <c r="G33" s="160">
        <v>13083</v>
      </c>
      <c r="H33" s="160">
        <v>11147</v>
      </c>
      <c r="I33" s="160">
        <v>2030</v>
      </c>
      <c r="J33" s="160">
        <v>2536</v>
      </c>
      <c r="K33" s="160">
        <v>11811</v>
      </c>
      <c r="L33" s="160">
        <v>13818</v>
      </c>
      <c r="M33" s="160">
        <v>18741</v>
      </c>
      <c r="N33" s="160">
        <v>19958</v>
      </c>
      <c r="O33" s="161">
        <f t="shared" si="2"/>
        <v>165473</v>
      </c>
    </row>
    <row r="34" spans="2:15" ht="15.75" thickBot="1">
      <c r="B34" s="162"/>
      <c r="C34" s="163">
        <f>SUM(C23:C33)</f>
        <v>446561</v>
      </c>
      <c r="D34" s="163">
        <f t="shared" ref="D34:O34" si="3">SUM(D23:D33)</f>
        <v>443864</v>
      </c>
      <c r="E34" s="163">
        <f t="shared" si="3"/>
        <v>397610</v>
      </c>
      <c r="F34" s="163">
        <f t="shared" si="3"/>
        <v>437186</v>
      </c>
      <c r="G34" s="163">
        <f t="shared" si="3"/>
        <v>351320</v>
      </c>
      <c r="H34" s="163">
        <f t="shared" si="3"/>
        <v>354796</v>
      </c>
      <c r="I34" s="163">
        <f t="shared" si="3"/>
        <v>56963</v>
      </c>
      <c r="J34" s="163">
        <f t="shared" si="3"/>
        <v>61882</v>
      </c>
      <c r="K34" s="163">
        <f t="shared" si="3"/>
        <v>294044</v>
      </c>
      <c r="L34" s="163">
        <f t="shared" si="3"/>
        <v>358686</v>
      </c>
      <c r="M34" s="163">
        <f t="shared" si="3"/>
        <v>424628</v>
      </c>
      <c r="N34" s="163">
        <f t="shared" si="3"/>
        <v>381481</v>
      </c>
      <c r="O34" s="163">
        <f t="shared" si="3"/>
        <v>4009021</v>
      </c>
    </row>
  </sheetData>
  <mergeCells count="3">
    <mergeCell ref="C6:O6"/>
    <mergeCell ref="B9:O9"/>
    <mergeCell ref="B22:O2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36"/>
  <sheetViews>
    <sheetView topLeftCell="A10" zoomScale="85" zoomScaleNormal="85" workbookViewId="0">
      <selection activeCell="D39" sqref="D39"/>
    </sheetView>
  </sheetViews>
  <sheetFormatPr defaultRowHeight="15"/>
  <cols>
    <col min="2" max="2" width="16.7109375" customWidth="1"/>
    <col min="3" max="3" width="18.28515625" customWidth="1"/>
    <col min="4" max="4" width="23.5703125" customWidth="1"/>
    <col min="5" max="5" width="13" customWidth="1"/>
    <col min="6" max="6" width="13.5703125" customWidth="1"/>
    <col min="7" max="7" width="14" customWidth="1"/>
    <col min="8" max="8" width="14.85546875" customWidth="1"/>
  </cols>
  <sheetData>
    <row r="2" spans="2:8" ht="16.5">
      <c r="H2" s="13" t="s">
        <v>205</v>
      </c>
    </row>
    <row r="3" spans="2:8" ht="16.5">
      <c r="H3" s="13" t="s">
        <v>206</v>
      </c>
    </row>
    <row r="4" spans="2:8" ht="16.5">
      <c r="H4" s="13" t="s">
        <v>207</v>
      </c>
    </row>
    <row r="5" spans="2:8" ht="16.5">
      <c r="H5" s="13" t="s">
        <v>208</v>
      </c>
    </row>
    <row r="6" spans="2:8" ht="16.5">
      <c r="H6" s="13" t="s">
        <v>209</v>
      </c>
    </row>
    <row r="8" spans="2:8" ht="16.5">
      <c r="C8" s="14" t="s">
        <v>210</v>
      </c>
    </row>
    <row r="9" spans="2:8" ht="15.75" thickBot="1"/>
    <row r="10" spans="2:8" ht="33" customHeight="1" thickBot="1">
      <c r="B10" s="304" t="s">
        <v>247</v>
      </c>
      <c r="C10" s="304" t="s">
        <v>211</v>
      </c>
      <c r="D10" s="304" t="s">
        <v>329</v>
      </c>
      <c r="E10" s="308" t="s">
        <v>330</v>
      </c>
      <c r="F10" s="309"/>
      <c r="G10" s="308" t="s">
        <v>331</v>
      </c>
      <c r="H10" s="309"/>
    </row>
    <row r="11" spans="2:8" ht="26.25" thickBot="1">
      <c r="B11" s="305"/>
      <c r="C11" s="310"/>
      <c r="D11" s="305"/>
      <c r="E11" s="59" t="s">
        <v>332</v>
      </c>
      <c r="F11" s="11" t="s">
        <v>212</v>
      </c>
      <c r="G11" s="59" t="s">
        <v>332</v>
      </c>
      <c r="H11" s="11" t="s">
        <v>212</v>
      </c>
    </row>
    <row r="12" spans="2:8" ht="15.75" thickBot="1">
      <c r="B12" s="9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</row>
    <row r="13" spans="2:8" ht="45">
      <c r="B13" s="346" t="s">
        <v>558</v>
      </c>
      <c r="C13" s="348" t="s">
        <v>559</v>
      </c>
      <c r="D13" s="170" t="s">
        <v>213</v>
      </c>
      <c r="E13" s="171" t="s">
        <v>16</v>
      </c>
      <c r="F13" s="171" t="s">
        <v>16</v>
      </c>
      <c r="G13" s="171" t="s">
        <v>16</v>
      </c>
      <c r="H13" s="172" t="s">
        <v>16</v>
      </c>
    </row>
    <row r="14" spans="2:8" ht="15.75">
      <c r="B14" s="347"/>
      <c r="C14" s="349"/>
      <c r="D14" s="164" t="s">
        <v>214</v>
      </c>
      <c r="E14" s="165"/>
      <c r="F14" s="165" t="s">
        <v>16</v>
      </c>
      <c r="G14" s="165"/>
      <c r="H14" s="173" t="s">
        <v>16</v>
      </c>
    </row>
    <row r="15" spans="2:8" ht="15.75">
      <c r="B15" s="347"/>
      <c r="C15" s="349"/>
      <c r="D15" s="164" t="s">
        <v>560</v>
      </c>
      <c r="E15" s="165" t="s">
        <v>16</v>
      </c>
      <c r="F15" s="165" t="s">
        <v>16</v>
      </c>
      <c r="G15" s="165" t="s">
        <v>16</v>
      </c>
      <c r="H15" s="173" t="s">
        <v>16</v>
      </c>
    </row>
    <row r="16" spans="2:8" ht="30">
      <c r="B16" s="347"/>
      <c r="C16" s="349"/>
      <c r="D16" s="164" t="s">
        <v>215</v>
      </c>
      <c r="E16" s="165" t="s">
        <v>16</v>
      </c>
      <c r="F16" s="165" t="s">
        <v>16</v>
      </c>
      <c r="G16" s="165" t="s">
        <v>16</v>
      </c>
      <c r="H16" s="173" t="s">
        <v>16</v>
      </c>
    </row>
    <row r="17" spans="2:8" ht="30">
      <c r="B17" s="347"/>
      <c r="C17" s="349"/>
      <c r="D17" s="166" t="s">
        <v>561</v>
      </c>
      <c r="E17" s="165" t="s">
        <v>16</v>
      </c>
      <c r="F17" s="165" t="s">
        <v>16</v>
      </c>
      <c r="G17" s="165" t="s">
        <v>16</v>
      </c>
      <c r="H17" s="173" t="s">
        <v>16</v>
      </c>
    </row>
    <row r="18" spans="2:8" ht="30">
      <c r="B18" s="347"/>
      <c r="C18" s="349"/>
      <c r="D18" s="164" t="s">
        <v>562</v>
      </c>
      <c r="E18" s="167">
        <v>140</v>
      </c>
      <c r="F18" s="168" t="s">
        <v>16</v>
      </c>
      <c r="G18" s="167">
        <v>53</v>
      </c>
      <c r="H18" s="173" t="s">
        <v>16</v>
      </c>
    </row>
    <row r="19" spans="2:8" ht="15.75">
      <c r="B19" s="347"/>
      <c r="C19" s="349"/>
      <c r="D19" s="164" t="s">
        <v>563</v>
      </c>
      <c r="E19" s="167">
        <v>73.400000000000006</v>
      </c>
      <c r="F19" s="168" t="s">
        <v>16</v>
      </c>
      <c r="G19" s="167">
        <v>18.5</v>
      </c>
      <c r="H19" s="173" t="s">
        <v>16</v>
      </c>
    </row>
    <row r="20" spans="2:8" ht="30">
      <c r="B20" s="347"/>
      <c r="C20" s="349"/>
      <c r="D20" s="164" t="s">
        <v>218</v>
      </c>
      <c r="E20" s="165" t="s">
        <v>16</v>
      </c>
      <c r="F20" s="165" t="s">
        <v>16</v>
      </c>
      <c r="G20" s="165" t="s">
        <v>16</v>
      </c>
      <c r="H20" s="173" t="s">
        <v>16</v>
      </c>
    </row>
    <row r="21" spans="2:8" ht="15.75">
      <c r="B21" s="347"/>
      <c r="C21" s="349"/>
      <c r="D21" s="164" t="s">
        <v>216</v>
      </c>
      <c r="E21" s="165" t="s">
        <v>16</v>
      </c>
      <c r="F21" s="165" t="s">
        <v>16</v>
      </c>
      <c r="G21" s="165" t="s">
        <v>16</v>
      </c>
      <c r="H21" s="173" t="s">
        <v>16</v>
      </c>
    </row>
    <row r="22" spans="2:8" ht="15.75">
      <c r="B22" s="347"/>
      <c r="C22" s="349"/>
      <c r="D22" s="164" t="s">
        <v>217</v>
      </c>
      <c r="E22" s="165" t="s">
        <v>16</v>
      </c>
      <c r="F22" s="165" t="s">
        <v>16</v>
      </c>
      <c r="G22" s="165" t="s">
        <v>16</v>
      </c>
      <c r="H22" s="173" t="s">
        <v>16</v>
      </c>
    </row>
    <row r="23" spans="2:8" ht="45">
      <c r="B23" s="347"/>
      <c r="C23" s="349"/>
      <c r="D23" s="164" t="s">
        <v>213</v>
      </c>
      <c r="E23" s="165" t="s">
        <v>16</v>
      </c>
      <c r="F23" s="165" t="s">
        <v>16</v>
      </c>
      <c r="G23" s="165" t="s">
        <v>16</v>
      </c>
      <c r="H23" s="173" t="s">
        <v>16</v>
      </c>
    </row>
    <row r="24" spans="2:8" ht="15.75">
      <c r="B24" s="347"/>
      <c r="C24" s="349"/>
      <c r="D24" s="164" t="s">
        <v>564</v>
      </c>
      <c r="E24" s="165" t="s">
        <v>16</v>
      </c>
      <c r="F24" s="165" t="s">
        <v>16</v>
      </c>
      <c r="G24" s="165" t="s">
        <v>16</v>
      </c>
      <c r="H24" s="173" t="s">
        <v>16</v>
      </c>
    </row>
    <row r="25" spans="2:8" ht="30">
      <c r="B25" s="347"/>
      <c r="C25" s="349"/>
      <c r="D25" s="164" t="s">
        <v>215</v>
      </c>
      <c r="E25" s="165" t="s">
        <v>16</v>
      </c>
      <c r="F25" s="165" t="s">
        <v>16</v>
      </c>
      <c r="G25" s="165" t="s">
        <v>16</v>
      </c>
      <c r="H25" s="173" t="s">
        <v>16</v>
      </c>
    </row>
    <row r="26" spans="2:8" ht="30">
      <c r="B26" s="347"/>
      <c r="C26" s="349"/>
      <c r="D26" s="164" t="s">
        <v>219</v>
      </c>
      <c r="E26" s="165" t="s">
        <v>16</v>
      </c>
      <c r="F26" s="165" t="s">
        <v>16</v>
      </c>
      <c r="G26" s="165"/>
      <c r="H26" s="173" t="s">
        <v>16</v>
      </c>
    </row>
    <row r="27" spans="2:8" ht="15.75" customHeight="1">
      <c r="B27" s="347"/>
      <c r="C27" s="349"/>
      <c r="D27" s="164" t="s">
        <v>216</v>
      </c>
      <c r="E27" s="165"/>
      <c r="F27" s="165" t="s">
        <v>16</v>
      </c>
      <c r="G27" s="165" t="s">
        <v>16</v>
      </c>
      <c r="H27" s="173" t="s">
        <v>16</v>
      </c>
    </row>
    <row r="28" spans="2:8" ht="15.75">
      <c r="B28" s="347"/>
      <c r="C28" s="349"/>
      <c r="D28" s="164" t="s">
        <v>217</v>
      </c>
      <c r="E28" s="165"/>
      <c r="F28" s="165" t="s">
        <v>16</v>
      </c>
      <c r="G28" s="165"/>
      <c r="H28" s="173" t="s">
        <v>16</v>
      </c>
    </row>
    <row r="29" spans="2:8" ht="15.75">
      <c r="B29" s="350" t="s">
        <v>565</v>
      </c>
      <c r="C29" s="351"/>
      <c r="D29" s="351"/>
      <c r="E29" s="165">
        <v>213.4</v>
      </c>
      <c r="F29" s="165"/>
      <c r="G29" s="165">
        <v>71.5</v>
      </c>
      <c r="H29" s="173"/>
    </row>
    <row r="30" spans="2:8" ht="15.75" customHeight="1">
      <c r="B30" s="347"/>
      <c r="C30" s="349"/>
      <c r="D30" s="164" t="s">
        <v>213</v>
      </c>
      <c r="E30" s="165" t="s">
        <v>16</v>
      </c>
      <c r="F30" s="165" t="s">
        <v>16</v>
      </c>
      <c r="G30" s="165" t="s">
        <v>16</v>
      </c>
      <c r="H30" s="173" t="s">
        <v>16</v>
      </c>
    </row>
    <row r="31" spans="2:8" ht="15.75" customHeight="1">
      <c r="B31" s="347"/>
      <c r="C31" s="349"/>
      <c r="D31" s="166"/>
      <c r="E31" s="165"/>
      <c r="F31" s="165" t="s">
        <v>16</v>
      </c>
      <c r="G31" s="165"/>
      <c r="H31" s="173" t="s">
        <v>16</v>
      </c>
    </row>
    <row r="32" spans="2:8" ht="30">
      <c r="B32" s="347"/>
      <c r="C32" s="349"/>
      <c r="D32" s="164" t="s">
        <v>215</v>
      </c>
      <c r="E32" s="165" t="s">
        <v>16</v>
      </c>
      <c r="F32" s="165" t="s">
        <v>16</v>
      </c>
      <c r="G32" s="165" t="s">
        <v>16</v>
      </c>
      <c r="H32" s="173" t="s">
        <v>16</v>
      </c>
    </row>
    <row r="33" spans="2:8" ht="15.75">
      <c r="B33" s="347"/>
      <c r="C33" s="349"/>
      <c r="D33" s="166"/>
      <c r="E33" s="165"/>
      <c r="F33" s="165" t="s">
        <v>16</v>
      </c>
      <c r="G33" s="165"/>
      <c r="H33" s="173" t="s">
        <v>16</v>
      </c>
    </row>
    <row r="34" spans="2:8" ht="15.75">
      <c r="B34" s="350" t="s">
        <v>565</v>
      </c>
      <c r="C34" s="351"/>
      <c r="D34" s="351"/>
      <c r="E34" s="169">
        <f>E18+E19</f>
        <v>213.4</v>
      </c>
      <c r="F34" s="165"/>
      <c r="G34" s="169">
        <f>G18+G19</f>
        <v>71.5</v>
      </c>
      <c r="H34" s="173" t="s">
        <v>16</v>
      </c>
    </row>
    <row r="35" spans="2:8" ht="15.75">
      <c r="B35" s="352" t="s">
        <v>220</v>
      </c>
      <c r="C35" s="353"/>
      <c r="D35" s="353"/>
      <c r="E35" s="165"/>
      <c r="F35" s="165"/>
      <c r="G35" s="165"/>
      <c r="H35" s="173" t="s">
        <v>16</v>
      </c>
    </row>
    <row r="36" spans="2:8" ht="16.5" thickBot="1">
      <c r="B36" s="174"/>
      <c r="C36" s="175"/>
      <c r="D36" s="175"/>
      <c r="E36" s="175"/>
      <c r="F36" s="176"/>
      <c r="G36" s="176"/>
      <c r="H36" s="177" t="s">
        <v>16</v>
      </c>
    </row>
  </sheetData>
  <mergeCells count="13">
    <mergeCell ref="B30:B33"/>
    <mergeCell ref="C30:C33"/>
    <mergeCell ref="B34:D34"/>
    <mergeCell ref="B35:D35"/>
    <mergeCell ref="E10:F10"/>
    <mergeCell ref="B29:D29"/>
    <mergeCell ref="G10:H10"/>
    <mergeCell ref="B10:B11"/>
    <mergeCell ref="D10:D11"/>
    <mergeCell ref="C10:C11"/>
    <mergeCell ref="B13:B28"/>
    <mergeCell ref="C13:C22"/>
    <mergeCell ref="C23:C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9"/>
  <sheetViews>
    <sheetView zoomScale="85" zoomScaleNormal="85" workbookViewId="0">
      <selection activeCell="D7" sqref="D7"/>
    </sheetView>
  </sheetViews>
  <sheetFormatPr defaultRowHeight="15"/>
  <cols>
    <col min="1" max="1" width="3" customWidth="1"/>
    <col min="2" max="2" width="19.5703125" customWidth="1"/>
    <col min="3" max="3" width="11.28515625" customWidth="1"/>
    <col min="4" max="4" width="14.85546875" customWidth="1"/>
    <col min="6" max="6" width="10.28515625" customWidth="1"/>
    <col min="8" max="8" width="14.28515625" customWidth="1"/>
    <col min="10" max="10" width="12.5703125" customWidth="1"/>
    <col min="12" max="12" width="15.140625" customWidth="1"/>
    <col min="13" max="13" width="9.5703125" customWidth="1"/>
    <col min="14" max="14" width="11" customWidth="1"/>
    <col min="17" max="17" width="13.5703125" customWidth="1"/>
    <col min="18" max="18" width="11.7109375" bestFit="1" customWidth="1"/>
  </cols>
  <sheetData>
    <row r="2" spans="2:18" ht="16.5">
      <c r="B2" s="1"/>
      <c r="Q2" s="7" t="s">
        <v>0</v>
      </c>
    </row>
    <row r="3" spans="2:18" ht="16.5">
      <c r="B3" s="7" t="s">
        <v>1</v>
      </c>
    </row>
    <row r="4" spans="2:18" ht="17.25" thickBot="1">
      <c r="B4" s="1"/>
    </row>
    <row r="5" spans="2:18" ht="15.75" thickBot="1">
      <c r="B5" s="311" t="s">
        <v>2</v>
      </c>
      <c r="C5" s="313" t="s">
        <v>3</v>
      </c>
      <c r="D5" s="314"/>
      <c r="E5" s="314"/>
      <c r="F5" s="315"/>
      <c r="G5" s="313" t="s">
        <v>4</v>
      </c>
      <c r="H5" s="314"/>
      <c r="I5" s="314"/>
      <c r="J5" s="315"/>
      <c r="K5" s="313" t="s">
        <v>5</v>
      </c>
      <c r="L5" s="314"/>
      <c r="M5" s="314"/>
      <c r="N5" s="315"/>
      <c r="O5" s="313" t="s">
        <v>6</v>
      </c>
      <c r="P5" s="314"/>
      <c r="Q5" s="314"/>
      <c r="R5" s="315"/>
    </row>
    <row r="6" spans="2:18" ht="102.75" customHeight="1" thickBot="1">
      <c r="B6" s="312"/>
      <c r="C6" s="308" t="s">
        <v>7</v>
      </c>
      <c r="D6" s="316"/>
      <c r="E6" s="309"/>
      <c r="F6" s="304" t="s">
        <v>8</v>
      </c>
      <c r="G6" s="308" t="s">
        <v>7</v>
      </c>
      <c r="H6" s="316"/>
      <c r="I6" s="309"/>
      <c r="J6" s="304" t="s">
        <v>8</v>
      </c>
      <c r="K6" s="308" t="s">
        <v>7</v>
      </c>
      <c r="L6" s="316"/>
      <c r="M6" s="309"/>
      <c r="N6" s="304" t="s">
        <v>20</v>
      </c>
      <c r="O6" s="308" t="s">
        <v>7</v>
      </c>
      <c r="P6" s="309"/>
      <c r="Q6" s="304" t="s">
        <v>20</v>
      </c>
      <c r="R6" s="304" t="s">
        <v>9</v>
      </c>
    </row>
    <row r="7" spans="2:18" ht="57.75" customHeight="1" thickBot="1">
      <c r="B7" s="312"/>
      <c r="C7" s="8" t="s">
        <v>10</v>
      </c>
      <c r="D7" s="94" t="s">
        <v>389</v>
      </c>
      <c r="E7" s="11" t="s">
        <v>11</v>
      </c>
      <c r="F7" s="310"/>
      <c r="G7" s="11" t="s">
        <v>12</v>
      </c>
      <c r="H7" s="94" t="s">
        <v>389</v>
      </c>
      <c r="I7" s="11" t="s">
        <v>11</v>
      </c>
      <c r="J7" s="310"/>
      <c r="K7" s="11" t="s">
        <v>12</v>
      </c>
      <c r="L7" s="94" t="s">
        <v>389</v>
      </c>
      <c r="M7" s="11" t="s">
        <v>11</v>
      </c>
      <c r="N7" s="305"/>
      <c r="O7" s="11" t="s">
        <v>13</v>
      </c>
      <c r="P7" s="12" t="s">
        <v>21</v>
      </c>
      <c r="Q7" s="305"/>
      <c r="R7" s="310"/>
    </row>
    <row r="8" spans="2:18" ht="15.75" thickBot="1">
      <c r="B8" s="9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</row>
    <row r="9" spans="2:18" ht="15.75" customHeight="1" thickBot="1">
      <c r="B9" s="301" t="s">
        <v>14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3"/>
    </row>
    <row r="10" spans="2:18" ht="15.75" thickBot="1">
      <c r="B10" s="98" t="s">
        <v>385</v>
      </c>
      <c r="C10" s="64">
        <v>48978</v>
      </c>
      <c r="D10" s="64" t="s">
        <v>386</v>
      </c>
      <c r="E10" s="64">
        <v>47905</v>
      </c>
      <c r="F10" s="106">
        <v>34770</v>
      </c>
      <c r="G10" s="64">
        <v>48978</v>
      </c>
      <c r="H10" s="64" t="s">
        <v>387</v>
      </c>
      <c r="I10" s="64">
        <v>35563</v>
      </c>
      <c r="J10" s="64">
        <v>29658</v>
      </c>
      <c r="K10" s="64">
        <v>48978</v>
      </c>
      <c r="L10" s="64" t="s">
        <v>388</v>
      </c>
      <c r="M10" s="64">
        <v>27770</v>
      </c>
      <c r="N10" s="65">
        <f>K10/2184</f>
        <v>22.425824175824175</v>
      </c>
      <c r="O10" s="108">
        <v>50139</v>
      </c>
      <c r="P10" s="59"/>
      <c r="Q10" s="107">
        <f>2302/O10</f>
        <v>4.5912363629111073E-2</v>
      </c>
      <c r="R10" s="66"/>
    </row>
    <row r="11" spans="2:18" ht="15.75" customHeight="1" thickBot="1">
      <c r="B11" s="301" t="s">
        <v>15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3"/>
    </row>
    <row r="12" spans="2:18" ht="15.75" thickBot="1">
      <c r="B12" s="3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" t="s">
        <v>16</v>
      </c>
      <c r="O12" s="5"/>
      <c r="P12" s="5"/>
      <c r="Q12" s="2" t="s">
        <v>16</v>
      </c>
      <c r="R12" s="5"/>
    </row>
    <row r="13" spans="2:18" ht="15.75" customHeight="1" thickBot="1">
      <c r="B13" s="301" t="s">
        <v>17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3"/>
    </row>
    <row r="14" spans="2:18" ht="15.75" thickBot="1">
      <c r="B14" s="3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6.5">
      <c r="B15" s="1"/>
    </row>
    <row r="16" spans="2:18" ht="16.5" customHeight="1">
      <c r="B16" s="306" t="s">
        <v>18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</row>
    <row r="17" spans="2:18"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</row>
    <row r="18" spans="2:18" ht="16.5" customHeight="1">
      <c r="B18" s="307" t="s">
        <v>19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2:18"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</sheetData>
  <mergeCells count="19">
    <mergeCell ref="K6:M6"/>
    <mergeCell ref="B9:R9"/>
    <mergeCell ref="B11:R11"/>
    <mergeCell ref="B13:R13"/>
    <mergeCell ref="N6:N7"/>
    <mergeCell ref="Q6:Q7"/>
    <mergeCell ref="B16:R17"/>
    <mergeCell ref="B18:R19"/>
    <mergeCell ref="O6:P6"/>
    <mergeCell ref="R6:R7"/>
    <mergeCell ref="B5:B7"/>
    <mergeCell ref="C5:F5"/>
    <mergeCell ref="G5:J5"/>
    <mergeCell ref="K5:N5"/>
    <mergeCell ref="O5:R5"/>
    <mergeCell ref="C6:E6"/>
    <mergeCell ref="F6:F7"/>
    <mergeCell ref="G6:I6"/>
    <mergeCell ref="J6:J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Q27"/>
  <sheetViews>
    <sheetView zoomScale="70" zoomScaleNormal="70" workbookViewId="0">
      <selection activeCell="E35" sqref="E35"/>
    </sheetView>
  </sheetViews>
  <sheetFormatPr defaultRowHeight="15"/>
  <cols>
    <col min="2" max="2" width="15.42578125" customWidth="1"/>
    <col min="3" max="3" width="16.140625" customWidth="1"/>
    <col min="4" max="4" width="17.28515625" customWidth="1"/>
    <col min="5" max="5" width="15.28515625" customWidth="1"/>
    <col min="6" max="6" width="10.7109375" customWidth="1"/>
    <col min="8" max="8" width="11.5703125" customWidth="1"/>
    <col min="12" max="12" width="12" customWidth="1"/>
    <col min="14" max="14" width="12.140625" customWidth="1"/>
  </cols>
  <sheetData>
    <row r="1" spans="2:17" ht="16.5">
      <c r="Q1" s="13" t="s">
        <v>221</v>
      </c>
    </row>
    <row r="2" spans="2:17" ht="16.5">
      <c r="Q2" s="13" t="s">
        <v>206</v>
      </c>
    </row>
    <row r="3" spans="2:17" ht="16.5">
      <c r="Q3" s="13" t="s">
        <v>207</v>
      </c>
    </row>
    <row r="4" spans="2:17" ht="16.5">
      <c r="Q4" s="13" t="s">
        <v>208</v>
      </c>
    </row>
    <row r="5" spans="2:17" ht="16.5">
      <c r="Q5" s="13" t="s">
        <v>209</v>
      </c>
    </row>
    <row r="6" spans="2:17" ht="16.5">
      <c r="Q6" s="13"/>
    </row>
    <row r="7" spans="2:17" ht="16.5">
      <c r="F7" s="7" t="s">
        <v>222</v>
      </c>
    </row>
    <row r="8" spans="2:17" ht="16.5">
      <c r="Q8" s="13" t="s">
        <v>223</v>
      </c>
    </row>
    <row r="9" spans="2:17" ht="16.5">
      <c r="F9" s="7" t="s">
        <v>224</v>
      </c>
    </row>
    <row r="10" spans="2:17" ht="15.75" thickBot="1"/>
    <row r="11" spans="2:17" ht="15.75" thickBot="1">
      <c r="B11" s="304" t="s">
        <v>247</v>
      </c>
      <c r="C11" s="304" t="s">
        <v>211</v>
      </c>
      <c r="D11" s="311" t="s">
        <v>324</v>
      </c>
      <c r="E11" s="308" t="s">
        <v>325</v>
      </c>
      <c r="F11" s="313" t="s">
        <v>27</v>
      </c>
      <c r="G11" s="314"/>
      <c r="H11" s="314"/>
      <c r="I11" s="314"/>
      <c r="J11" s="314"/>
      <c r="K11" s="315"/>
      <c r="L11" s="313" t="s">
        <v>225</v>
      </c>
      <c r="M11" s="314"/>
      <c r="N11" s="314"/>
      <c r="O11" s="314"/>
      <c r="P11" s="314"/>
      <c r="Q11" s="315"/>
    </row>
    <row r="12" spans="2:17" ht="15.75" thickBot="1">
      <c r="B12" s="310"/>
      <c r="C12" s="310"/>
      <c r="D12" s="312"/>
      <c r="E12" s="354"/>
      <c r="F12" s="313" t="s">
        <v>226</v>
      </c>
      <c r="G12" s="315"/>
      <c r="H12" s="313" t="s">
        <v>227</v>
      </c>
      <c r="I12" s="314"/>
      <c r="J12" s="314"/>
      <c r="K12" s="315"/>
      <c r="L12" s="313" t="s">
        <v>226</v>
      </c>
      <c r="M12" s="315"/>
      <c r="N12" s="313" t="s">
        <v>227</v>
      </c>
      <c r="O12" s="314"/>
      <c r="P12" s="314"/>
      <c r="Q12" s="57"/>
    </row>
    <row r="13" spans="2:17" ht="15.75" thickBot="1">
      <c r="B13" s="310"/>
      <c r="C13" s="310"/>
      <c r="D13" s="312"/>
      <c r="E13" s="354"/>
      <c r="F13" s="59">
        <v>2013</v>
      </c>
      <c r="G13" s="115">
        <v>2014</v>
      </c>
      <c r="H13" s="116">
        <v>2013</v>
      </c>
      <c r="I13" s="59">
        <v>2014</v>
      </c>
      <c r="J13" s="59">
        <v>2015</v>
      </c>
      <c r="K13" s="115">
        <v>2016</v>
      </c>
      <c r="L13" s="59">
        <v>2013</v>
      </c>
      <c r="M13" s="115">
        <v>2014</v>
      </c>
      <c r="N13" s="116">
        <v>2013</v>
      </c>
      <c r="O13" s="59">
        <v>2014</v>
      </c>
      <c r="P13" s="59">
        <v>2015</v>
      </c>
      <c r="Q13" s="58">
        <v>2016</v>
      </c>
    </row>
    <row r="14" spans="2:17" ht="60.75" thickBot="1">
      <c r="B14" s="305"/>
      <c r="C14" s="305"/>
      <c r="D14" s="312"/>
      <c r="E14" s="355"/>
      <c r="F14" s="59" t="s">
        <v>327</v>
      </c>
      <c r="G14" s="8" t="s">
        <v>326</v>
      </c>
      <c r="H14" s="58" t="s">
        <v>327</v>
      </c>
      <c r="I14" s="11" t="s">
        <v>4</v>
      </c>
      <c r="J14" s="8" t="s">
        <v>328</v>
      </c>
      <c r="K14" s="11" t="s">
        <v>317</v>
      </c>
      <c r="L14" s="59" t="s">
        <v>327</v>
      </c>
      <c r="M14" s="11" t="s">
        <v>4</v>
      </c>
      <c r="N14" s="59" t="s">
        <v>327</v>
      </c>
      <c r="O14" s="11" t="s">
        <v>4</v>
      </c>
      <c r="P14" s="11" t="s">
        <v>316</v>
      </c>
      <c r="Q14" s="11" t="s">
        <v>317</v>
      </c>
    </row>
    <row r="15" spans="2:17" ht="15.75" thickBot="1">
      <c r="B15" s="9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  <c r="K15" s="10">
        <v>10</v>
      </c>
      <c r="L15" s="10">
        <v>11</v>
      </c>
      <c r="M15" s="10">
        <v>12</v>
      </c>
      <c r="N15" s="10">
        <v>13</v>
      </c>
      <c r="O15" s="10">
        <v>14</v>
      </c>
      <c r="P15" s="10">
        <v>15</v>
      </c>
      <c r="Q15" s="10">
        <v>16</v>
      </c>
    </row>
    <row r="16" spans="2:17" ht="26.25" thickBot="1">
      <c r="B16" s="178" t="s">
        <v>566</v>
      </c>
      <c r="C16" s="178" t="s">
        <v>567</v>
      </c>
      <c r="D16" s="178" t="s">
        <v>559</v>
      </c>
      <c r="E16" s="178" t="s">
        <v>568</v>
      </c>
      <c r="F16" s="179">
        <v>221.15899999999999</v>
      </c>
      <c r="G16" s="179">
        <v>199.76</v>
      </c>
      <c r="H16" s="179">
        <v>229.61199999999999</v>
      </c>
      <c r="I16" s="179">
        <v>220.7</v>
      </c>
      <c r="J16" s="179">
        <v>220.7</v>
      </c>
      <c r="K16" s="179">
        <v>210.1</v>
      </c>
      <c r="L16" s="180"/>
      <c r="M16" s="180"/>
      <c r="N16" s="180"/>
      <c r="O16" s="180"/>
      <c r="P16" s="180"/>
      <c r="Q16" s="180"/>
    </row>
    <row r="17" spans="2:17" ht="26.25" thickBot="1">
      <c r="B17" s="178" t="s">
        <v>566</v>
      </c>
      <c r="C17" s="178" t="s">
        <v>569</v>
      </c>
      <c r="D17" s="178" t="s">
        <v>559</v>
      </c>
      <c r="E17" s="178" t="s">
        <v>568</v>
      </c>
      <c r="F17" s="180"/>
      <c r="G17" s="180"/>
      <c r="H17" s="180"/>
      <c r="I17" s="180"/>
      <c r="J17" s="180"/>
      <c r="K17" s="180"/>
      <c r="L17" s="179">
        <v>203.19300000000001</v>
      </c>
      <c r="M17" s="179">
        <v>185.38200000000001</v>
      </c>
      <c r="N17" s="179">
        <v>202.69</v>
      </c>
      <c r="O17" s="179">
        <v>194.87799999999999</v>
      </c>
      <c r="P17" s="179">
        <v>195.78800000000001</v>
      </c>
      <c r="Q17" s="179">
        <v>185.08</v>
      </c>
    </row>
    <row r="18" spans="2:17" ht="15.75" thickBot="1"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5.75" thickBot="1"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ht="15.75" thickBot="1"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ht="15.75" thickBot="1"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3" spans="2:17" ht="16.5">
      <c r="B23" s="7" t="s">
        <v>228</v>
      </c>
    </row>
    <row r="24" spans="2:17" ht="16.5">
      <c r="B24" s="21" t="s">
        <v>321</v>
      </c>
    </row>
    <row r="25" spans="2:17" ht="16.5">
      <c r="B25" s="21" t="s">
        <v>320</v>
      </c>
    </row>
    <row r="26" spans="2:17" ht="16.5">
      <c r="B26" s="21" t="s">
        <v>322</v>
      </c>
    </row>
    <row r="27" spans="2:17" ht="16.5">
      <c r="B27" s="21" t="s">
        <v>323</v>
      </c>
    </row>
  </sheetData>
  <mergeCells count="10">
    <mergeCell ref="B11:B14"/>
    <mergeCell ref="C11:C14"/>
    <mergeCell ref="E11:E14"/>
    <mergeCell ref="D11:D14"/>
    <mergeCell ref="F11:K11"/>
    <mergeCell ref="L11:Q11"/>
    <mergeCell ref="F12:G12"/>
    <mergeCell ref="H12:K12"/>
    <mergeCell ref="L12:M12"/>
    <mergeCell ref="N12:P1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W27"/>
  <sheetViews>
    <sheetView zoomScale="70" zoomScaleNormal="70" workbookViewId="0">
      <selection activeCell="H25" sqref="H25"/>
    </sheetView>
  </sheetViews>
  <sheetFormatPr defaultRowHeight="15"/>
  <cols>
    <col min="1" max="1" width="4.85546875" customWidth="1"/>
    <col min="2" max="2" width="20.5703125" customWidth="1"/>
    <col min="3" max="3" width="13.42578125" customWidth="1"/>
  </cols>
  <sheetData>
    <row r="2" spans="2:23" ht="16.5">
      <c r="W2" s="13" t="s">
        <v>229</v>
      </c>
    </row>
    <row r="3" spans="2:23" ht="16.5">
      <c r="B3" s="1"/>
    </row>
    <row r="4" spans="2:23" ht="16.5">
      <c r="K4" s="7" t="s">
        <v>230</v>
      </c>
    </row>
    <row r="5" spans="2:23" ht="17.25" thickBot="1">
      <c r="B5" s="1"/>
    </row>
    <row r="6" spans="2:23" ht="15.75" thickBot="1">
      <c r="B6" s="317" t="s">
        <v>310</v>
      </c>
      <c r="C6" s="317" t="s">
        <v>312</v>
      </c>
      <c r="D6" s="322" t="s">
        <v>231</v>
      </c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23"/>
      <c r="T6" s="322" t="s">
        <v>319</v>
      </c>
      <c r="U6" s="357"/>
      <c r="V6" s="357"/>
      <c r="W6" s="323"/>
    </row>
    <row r="7" spans="2:23" ht="15.75" thickBot="1">
      <c r="B7" s="326"/>
      <c r="C7" s="326"/>
      <c r="D7" s="319" t="s">
        <v>232</v>
      </c>
      <c r="E7" s="320"/>
      <c r="F7" s="320"/>
      <c r="G7" s="321"/>
      <c r="H7" s="319" t="s">
        <v>4</v>
      </c>
      <c r="I7" s="320"/>
      <c r="J7" s="320"/>
      <c r="K7" s="321"/>
      <c r="L7" s="319" t="s">
        <v>5</v>
      </c>
      <c r="M7" s="320"/>
      <c r="N7" s="320"/>
      <c r="O7" s="321"/>
      <c r="P7" s="319" t="s">
        <v>6</v>
      </c>
      <c r="Q7" s="320"/>
      <c r="R7" s="320"/>
      <c r="S7" s="321"/>
      <c r="T7" s="324"/>
      <c r="U7" s="358"/>
      <c r="V7" s="358"/>
      <c r="W7" s="359"/>
    </row>
    <row r="8" spans="2:23" ht="48.75" thickBot="1">
      <c r="B8" s="318"/>
      <c r="C8" s="318"/>
      <c r="D8" s="16" t="s">
        <v>233</v>
      </c>
      <c r="E8" s="25" t="s">
        <v>234</v>
      </c>
      <c r="F8" s="25" t="s">
        <v>235</v>
      </c>
      <c r="G8" s="25" t="s">
        <v>236</v>
      </c>
      <c r="H8" s="16" t="s">
        <v>233</v>
      </c>
      <c r="I8" s="16" t="s">
        <v>234</v>
      </c>
      <c r="J8" s="16" t="s">
        <v>235</v>
      </c>
      <c r="K8" s="16" t="s">
        <v>236</v>
      </c>
      <c r="L8" s="16" t="s">
        <v>233</v>
      </c>
      <c r="M8" s="16" t="s">
        <v>234</v>
      </c>
      <c r="N8" s="16" t="s">
        <v>235</v>
      </c>
      <c r="O8" s="16" t="s">
        <v>236</v>
      </c>
      <c r="P8" s="16" t="s">
        <v>233</v>
      </c>
      <c r="Q8" s="16" t="s">
        <v>234</v>
      </c>
      <c r="R8" s="16" t="s">
        <v>235</v>
      </c>
      <c r="S8" s="16" t="s">
        <v>236</v>
      </c>
      <c r="T8" s="16" t="s">
        <v>313</v>
      </c>
      <c r="U8" s="16" t="s">
        <v>4</v>
      </c>
      <c r="V8" s="16" t="s">
        <v>315</v>
      </c>
      <c r="W8" s="16" t="s">
        <v>317</v>
      </c>
    </row>
    <row r="9" spans="2:23" ht="15.75" thickBot="1">
      <c r="B9" s="17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</row>
    <row r="10" spans="2:23" ht="30" customHeight="1" thickBot="1">
      <c r="B10" s="178" t="s">
        <v>570</v>
      </c>
      <c r="C10" s="178" t="s">
        <v>568</v>
      </c>
      <c r="D10" s="179">
        <v>12.843999999999999</v>
      </c>
      <c r="E10" s="179"/>
      <c r="F10" s="179">
        <v>2.44</v>
      </c>
      <c r="G10" s="179"/>
      <c r="H10" s="179">
        <v>12.843999999999999</v>
      </c>
      <c r="I10" s="179"/>
      <c r="J10" s="179">
        <v>2.44</v>
      </c>
      <c r="K10" s="179"/>
      <c r="L10" s="179">
        <v>12.843999999999999</v>
      </c>
      <c r="M10" s="179"/>
      <c r="N10" s="179">
        <v>2.44</v>
      </c>
      <c r="O10" s="179"/>
      <c r="P10" s="179">
        <v>12.843999999999999</v>
      </c>
      <c r="Q10" s="179"/>
      <c r="R10" s="179">
        <v>2.44</v>
      </c>
      <c r="S10" s="179"/>
      <c r="T10" s="179">
        <f>G10+H10+J10</f>
        <v>15.283999999999999</v>
      </c>
      <c r="U10" s="179">
        <f>K10+L10+N10</f>
        <v>15.283999999999999</v>
      </c>
      <c r="V10" s="179">
        <f>O10+P10+R10</f>
        <v>15.283999999999999</v>
      </c>
      <c r="W10" s="181">
        <f>P10+R10+S10</f>
        <v>15.283999999999999</v>
      </c>
    </row>
    <row r="11" spans="2:23" ht="30" customHeight="1" thickBot="1">
      <c r="B11" s="178" t="s">
        <v>571</v>
      </c>
      <c r="C11" s="178" t="s">
        <v>568</v>
      </c>
      <c r="D11" s="179">
        <v>9.1210000000000004</v>
      </c>
      <c r="E11" s="179"/>
      <c r="F11" s="179">
        <v>1.85</v>
      </c>
      <c r="G11" s="179"/>
      <c r="H11" s="179">
        <v>9.1210000000000004</v>
      </c>
      <c r="I11" s="179"/>
      <c r="J11" s="179">
        <v>1.85</v>
      </c>
      <c r="K11" s="179"/>
      <c r="L11" s="179">
        <v>9.1210000000000004</v>
      </c>
      <c r="M11" s="179"/>
      <c r="N11" s="179">
        <v>1.85</v>
      </c>
      <c r="O11" s="179"/>
      <c r="P11" s="179">
        <v>9.1210000000000004</v>
      </c>
      <c r="Q11" s="179"/>
      <c r="R11" s="179">
        <v>1.85</v>
      </c>
      <c r="S11" s="179"/>
      <c r="T11" s="179">
        <f t="shared" ref="T11:T19" si="0">G11+H11+J11</f>
        <v>10.971</v>
      </c>
      <c r="U11" s="179">
        <f t="shared" ref="U11:U19" si="1">K11+L11+N11</f>
        <v>10.971</v>
      </c>
      <c r="V11" s="179">
        <f t="shared" ref="V11:V19" si="2">O11+P11+R11</f>
        <v>10.971</v>
      </c>
      <c r="W11" s="181">
        <f t="shared" ref="W11:W19" si="3">P11+R11+S11</f>
        <v>10.971</v>
      </c>
    </row>
    <row r="12" spans="2:23" ht="30" customHeight="1" thickBot="1">
      <c r="B12" s="178" t="s">
        <v>572</v>
      </c>
      <c r="C12" s="178" t="s">
        <v>568</v>
      </c>
      <c r="D12" s="179">
        <v>5.2050000000000001</v>
      </c>
      <c r="E12" s="179"/>
      <c r="F12" s="179">
        <v>0.44</v>
      </c>
      <c r="G12" s="179"/>
      <c r="H12" s="179">
        <v>5.2050000000000001</v>
      </c>
      <c r="I12" s="179"/>
      <c r="J12" s="179">
        <v>0.44</v>
      </c>
      <c r="K12" s="179"/>
      <c r="L12" s="179">
        <v>5.2050000000000001</v>
      </c>
      <c r="M12" s="179"/>
      <c r="N12" s="179">
        <v>0.44</v>
      </c>
      <c r="O12" s="179"/>
      <c r="P12" s="179">
        <v>5.2050000000000001</v>
      </c>
      <c r="Q12" s="179"/>
      <c r="R12" s="179">
        <v>0.44</v>
      </c>
      <c r="S12" s="179"/>
      <c r="T12" s="179">
        <f t="shared" si="0"/>
        <v>5.6450000000000005</v>
      </c>
      <c r="U12" s="179">
        <f t="shared" si="1"/>
        <v>5.6450000000000005</v>
      </c>
      <c r="V12" s="179">
        <f t="shared" si="2"/>
        <v>5.6450000000000005</v>
      </c>
      <c r="W12" s="181">
        <f t="shared" si="3"/>
        <v>5.6450000000000005</v>
      </c>
    </row>
    <row r="13" spans="2:23" ht="30" customHeight="1" thickBot="1">
      <c r="B13" s="178" t="s">
        <v>573</v>
      </c>
      <c r="C13" s="178" t="s">
        <v>568</v>
      </c>
      <c r="D13" s="179">
        <v>1.4770000000000001</v>
      </c>
      <c r="E13" s="179"/>
      <c r="F13" s="179">
        <v>0</v>
      </c>
      <c r="G13" s="179"/>
      <c r="H13" s="179">
        <v>1.4770000000000001</v>
      </c>
      <c r="I13" s="179"/>
      <c r="J13" s="179">
        <v>0</v>
      </c>
      <c r="K13" s="179"/>
      <c r="L13" s="179">
        <v>1.4770000000000001</v>
      </c>
      <c r="M13" s="179"/>
      <c r="N13" s="179">
        <v>0</v>
      </c>
      <c r="O13" s="179"/>
      <c r="P13" s="179">
        <v>1.4770000000000001</v>
      </c>
      <c r="Q13" s="179"/>
      <c r="R13" s="179">
        <v>0</v>
      </c>
      <c r="S13" s="179"/>
      <c r="T13" s="179">
        <f t="shared" si="0"/>
        <v>1.4770000000000001</v>
      </c>
      <c r="U13" s="179">
        <f t="shared" si="1"/>
        <v>1.4770000000000001</v>
      </c>
      <c r="V13" s="179">
        <f t="shared" si="2"/>
        <v>1.4770000000000001</v>
      </c>
      <c r="W13" s="181">
        <f t="shared" si="3"/>
        <v>1.4770000000000001</v>
      </c>
    </row>
    <row r="14" spans="2:23" ht="30" customHeight="1" thickBot="1">
      <c r="B14" s="178" t="s">
        <v>574</v>
      </c>
      <c r="C14" s="178" t="s">
        <v>568</v>
      </c>
      <c r="D14" s="179">
        <v>5.3369999999999997</v>
      </c>
      <c r="E14" s="179"/>
      <c r="F14" s="179">
        <v>0.9</v>
      </c>
      <c r="G14" s="179"/>
      <c r="H14" s="179">
        <v>5.3369999999999997</v>
      </c>
      <c r="I14" s="179"/>
      <c r="J14" s="179">
        <v>0.9</v>
      </c>
      <c r="K14" s="179"/>
      <c r="L14" s="179">
        <v>5.3369999999999997</v>
      </c>
      <c r="M14" s="179"/>
      <c r="N14" s="179">
        <v>0.9</v>
      </c>
      <c r="O14" s="179"/>
      <c r="P14" s="179">
        <v>5.3369999999999997</v>
      </c>
      <c r="Q14" s="179"/>
      <c r="R14" s="179">
        <v>0.9</v>
      </c>
      <c r="S14" s="179"/>
      <c r="T14" s="179">
        <f t="shared" si="0"/>
        <v>6.2370000000000001</v>
      </c>
      <c r="U14" s="179">
        <f t="shared" si="1"/>
        <v>6.2370000000000001</v>
      </c>
      <c r="V14" s="179">
        <f t="shared" si="2"/>
        <v>6.2370000000000001</v>
      </c>
      <c r="W14" s="181">
        <f t="shared" si="3"/>
        <v>6.2370000000000001</v>
      </c>
    </row>
    <row r="15" spans="2:23" ht="30" customHeight="1" thickBot="1">
      <c r="B15" s="178" t="s">
        <v>575</v>
      </c>
      <c r="C15" s="178" t="s">
        <v>568</v>
      </c>
      <c r="D15" s="179">
        <v>7.133</v>
      </c>
      <c r="E15" s="179"/>
      <c r="F15" s="179">
        <v>0.98</v>
      </c>
      <c r="G15" s="179"/>
      <c r="H15" s="179">
        <v>7.133</v>
      </c>
      <c r="I15" s="179"/>
      <c r="J15" s="179">
        <v>0.98</v>
      </c>
      <c r="K15" s="179"/>
      <c r="L15" s="179">
        <v>7.133</v>
      </c>
      <c r="M15" s="179"/>
      <c r="N15" s="179">
        <v>0.98</v>
      </c>
      <c r="O15" s="179"/>
      <c r="P15" s="179">
        <v>7.133</v>
      </c>
      <c r="Q15" s="179"/>
      <c r="R15" s="179">
        <v>0.98</v>
      </c>
      <c r="S15" s="179"/>
      <c r="T15" s="179">
        <f t="shared" si="0"/>
        <v>8.1129999999999995</v>
      </c>
      <c r="U15" s="179">
        <f t="shared" si="1"/>
        <v>8.1129999999999995</v>
      </c>
      <c r="V15" s="179">
        <f t="shared" si="2"/>
        <v>8.1129999999999995</v>
      </c>
      <c r="W15" s="181">
        <f t="shared" si="3"/>
        <v>8.1129999999999995</v>
      </c>
    </row>
    <row r="16" spans="2:23" ht="30" customHeight="1" thickBot="1">
      <c r="B16" s="178" t="s">
        <v>576</v>
      </c>
      <c r="C16" s="178" t="s">
        <v>568</v>
      </c>
      <c r="D16" s="179">
        <v>9.9860000000000007</v>
      </c>
      <c r="E16" s="179"/>
      <c r="F16" s="179">
        <v>2.7</v>
      </c>
      <c r="G16" s="179"/>
      <c r="H16" s="179">
        <v>9.9860000000000007</v>
      </c>
      <c r="I16" s="179"/>
      <c r="J16" s="179">
        <v>2.7</v>
      </c>
      <c r="K16" s="179"/>
      <c r="L16" s="179">
        <v>9.9860000000000007</v>
      </c>
      <c r="M16" s="179"/>
      <c r="N16" s="179">
        <v>2.7</v>
      </c>
      <c r="O16" s="179"/>
      <c r="P16" s="179">
        <v>9.9860000000000007</v>
      </c>
      <c r="Q16" s="179"/>
      <c r="R16" s="179">
        <v>2.7</v>
      </c>
      <c r="S16" s="179"/>
      <c r="T16" s="179">
        <f t="shared" si="0"/>
        <v>12.686</v>
      </c>
      <c r="U16" s="179">
        <f t="shared" si="1"/>
        <v>12.686</v>
      </c>
      <c r="V16" s="179">
        <f t="shared" si="2"/>
        <v>12.686</v>
      </c>
      <c r="W16" s="181">
        <f t="shared" si="3"/>
        <v>12.686</v>
      </c>
    </row>
    <row r="17" spans="2:23" ht="30" customHeight="1" thickBot="1">
      <c r="B17" s="178" t="s">
        <v>577</v>
      </c>
      <c r="C17" s="178" t="s">
        <v>568</v>
      </c>
      <c r="D17" s="179">
        <v>1.9</v>
      </c>
      <c r="E17" s="179"/>
      <c r="F17" s="179">
        <v>0</v>
      </c>
      <c r="G17" s="179"/>
      <c r="H17" s="179">
        <v>1.9</v>
      </c>
      <c r="I17" s="179"/>
      <c r="J17" s="179">
        <v>0</v>
      </c>
      <c r="K17" s="179"/>
      <c r="L17" s="179">
        <v>1.9</v>
      </c>
      <c r="M17" s="179"/>
      <c r="N17" s="179">
        <v>0</v>
      </c>
      <c r="O17" s="179"/>
      <c r="P17" s="179">
        <v>1.9</v>
      </c>
      <c r="Q17" s="179"/>
      <c r="R17" s="179">
        <v>0</v>
      </c>
      <c r="S17" s="179"/>
      <c r="T17" s="179">
        <f t="shared" si="0"/>
        <v>1.9</v>
      </c>
      <c r="U17" s="179">
        <f t="shared" si="1"/>
        <v>1.9</v>
      </c>
      <c r="V17" s="179">
        <f t="shared" si="2"/>
        <v>1.9</v>
      </c>
      <c r="W17" s="181">
        <f t="shared" si="3"/>
        <v>1.9</v>
      </c>
    </row>
    <row r="18" spans="2:23" ht="30" customHeight="1" thickBot="1">
      <c r="B18" s="178" t="s">
        <v>578</v>
      </c>
      <c r="C18" s="178" t="s">
        <v>568</v>
      </c>
      <c r="D18" s="179">
        <v>1.0740000000000001</v>
      </c>
      <c r="E18" s="179"/>
      <c r="F18" s="179">
        <v>0</v>
      </c>
      <c r="G18" s="179"/>
      <c r="H18" s="179">
        <v>1.0740000000000001</v>
      </c>
      <c r="I18" s="179"/>
      <c r="J18" s="179">
        <v>0</v>
      </c>
      <c r="K18" s="179"/>
      <c r="L18" s="179">
        <v>1.0740000000000001</v>
      </c>
      <c r="M18" s="179"/>
      <c r="N18" s="179">
        <v>0</v>
      </c>
      <c r="O18" s="179"/>
      <c r="P18" s="179">
        <v>1.0740000000000001</v>
      </c>
      <c r="Q18" s="179"/>
      <c r="R18" s="179">
        <v>0</v>
      </c>
      <c r="S18" s="179"/>
      <c r="T18" s="179">
        <f t="shared" si="0"/>
        <v>1.0740000000000001</v>
      </c>
      <c r="U18" s="179">
        <f t="shared" si="1"/>
        <v>1.0740000000000001</v>
      </c>
      <c r="V18" s="179">
        <f t="shared" si="2"/>
        <v>1.0740000000000001</v>
      </c>
      <c r="W18" s="181">
        <f t="shared" si="3"/>
        <v>1.0740000000000001</v>
      </c>
    </row>
    <row r="19" spans="2:23" ht="30" customHeight="1" thickBot="1">
      <c r="B19" s="178" t="s">
        <v>579</v>
      </c>
      <c r="C19" s="178" t="s">
        <v>568</v>
      </c>
      <c r="D19" s="179">
        <v>3.9169999999999998</v>
      </c>
      <c r="E19" s="179"/>
      <c r="F19" s="179">
        <v>0.68</v>
      </c>
      <c r="G19" s="179"/>
      <c r="H19" s="179">
        <v>3.9169999999999998</v>
      </c>
      <c r="I19" s="179"/>
      <c r="J19" s="179">
        <v>0.68</v>
      </c>
      <c r="K19" s="179"/>
      <c r="L19" s="179">
        <v>3.9169999999999998</v>
      </c>
      <c r="M19" s="179"/>
      <c r="N19" s="179">
        <v>0.68</v>
      </c>
      <c r="O19" s="179"/>
      <c r="P19" s="179">
        <v>3.9169999999999998</v>
      </c>
      <c r="Q19" s="179"/>
      <c r="R19" s="179">
        <v>0.68</v>
      </c>
      <c r="S19" s="179"/>
      <c r="T19" s="179">
        <f t="shared" si="0"/>
        <v>4.5969999999999995</v>
      </c>
      <c r="U19" s="179">
        <f t="shared" si="1"/>
        <v>4.5969999999999995</v>
      </c>
      <c r="V19" s="179">
        <f t="shared" si="2"/>
        <v>4.5969999999999995</v>
      </c>
      <c r="W19" s="182">
        <f t="shared" si="3"/>
        <v>4.5969999999999995</v>
      </c>
    </row>
    <row r="20" spans="2:23" ht="30" customHeight="1" thickBot="1">
      <c r="B20" s="356" t="s">
        <v>580</v>
      </c>
      <c r="C20" s="356"/>
      <c r="D20" s="184">
        <f>SUM(D10:D19)</f>
        <v>57.994000000000007</v>
      </c>
      <c r="E20" s="184"/>
      <c r="F20" s="184">
        <f>SUM(F10:F19)</f>
        <v>9.990000000000002</v>
      </c>
      <c r="G20" s="184"/>
      <c r="H20" s="184">
        <f>SUM(H10:H19)</f>
        <v>57.994000000000007</v>
      </c>
      <c r="I20" s="184"/>
      <c r="J20" s="184">
        <f>SUM(J10:J19)</f>
        <v>9.990000000000002</v>
      </c>
      <c r="K20" s="184"/>
      <c r="L20" s="179">
        <f>SUM(L10:L19)</f>
        <v>57.994000000000007</v>
      </c>
      <c r="M20" s="179"/>
      <c r="N20" s="179">
        <f>SUM(N10:N19)</f>
        <v>9.990000000000002</v>
      </c>
      <c r="O20" s="184"/>
      <c r="P20" s="179">
        <f>SUM(P10:P19)</f>
        <v>57.994000000000007</v>
      </c>
      <c r="Q20" s="179"/>
      <c r="R20" s="179">
        <f>SUM(R10:R19)</f>
        <v>9.990000000000002</v>
      </c>
      <c r="S20" s="184"/>
      <c r="T20" s="184">
        <f>SUM(T10:T19)</f>
        <v>67.983999999999995</v>
      </c>
      <c r="U20" s="184">
        <f>SUM(U10:U19)</f>
        <v>67.983999999999995</v>
      </c>
      <c r="V20" s="184">
        <f>SUM(V10:V19)</f>
        <v>67.983999999999995</v>
      </c>
      <c r="W20" s="183">
        <f>SUM(W10:W19)</f>
        <v>67.983999999999995</v>
      </c>
    </row>
    <row r="21" spans="2:23" ht="16.5">
      <c r="B21" s="1"/>
    </row>
    <row r="22" spans="2:23" ht="16.5">
      <c r="B22" s="7" t="s">
        <v>228</v>
      </c>
    </row>
    <row r="23" spans="2:23" ht="16.5">
      <c r="B23" s="21" t="s">
        <v>308</v>
      </c>
    </row>
    <row r="24" spans="2:23" ht="16.5">
      <c r="B24" s="21"/>
    </row>
    <row r="25" spans="2:23" ht="16.5">
      <c r="B25" s="21"/>
    </row>
    <row r="26" spans="2:23" ht="16.5">
      <c r="B26" s="21"/>
    </row>
    <row r="27" spans="2:23" ht="16.5">
      <c r="B27" s="21"/>
    </row>
  </sheetData>
  <mergeCells count="9">
    <mergeCell ref="B20:C20"/>
    <mergeCell ref="B6:B8"/>
    <mergeCell ref="C6:C8"/>
    <mergeCell ref="T6:W7"/>
    <mergeCell ref="D6:S6"/>
    <mergeCell ref="D7:G7"/>
    <mergeCell ref="H7:K7"/>
    <mergeCell ref="L7:O7"/>
    <mergeCell ref="P7:S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S22"/>
  <sheetViews>
    <sheetView zoomScale="70" zoomScaleNormal="70" workbookViewId="0">
      <selection activeCell="H28" sqref="H28"/>
    </sheetView>
  </sheetViews>
  <sheetFormatPr defaultRowHeight="15"/>
  <cols>
    <col min="1" max="1" width="3.5703125" customWidth="1"/>
    <col min="2" max="2" width="16.85546875" customWidth="1"/>
    <col min="3" max="3" width="18.28515625" customWidth="1"/>
    <col min="4" max="4" width="14.42578125" customWidth="1"/>
    <col min="5" max="5" width="12.5703125" customWidth="1"/>
    <col min="7" max="7" width="14.7109375" customWidth="1"/>
    <col min="8" max="8" width="15.28515625" customWidth="1"/>
    <col min="9" max="9" width="11.5703125" customWidth="1"/>
    <col min="11" max="11" width="15.5703125" customWidth="1"/>
    <col min="12" max="12" width="15.28515625" customWidth="1"/>
    <col min="13" max="13" width="10.85546875" customWidth="1"/>
    <col min="17" max="17" width="9.28515625" customWidth="1"/>
    <col min="21" max="21" width="10.42578125" customWidth="1"/>
    <col min="25" max="25" width="10.42578125" customWidth="1"/>
    <col min="28" max="28" width="9.140625" customWidth="1"/>
  </cols>
  <sheetData>
    <row r="2" spans="2:45" ht="16.5">
      <c r="AB2" s="13" t="s">
        <v>237</v>
      </c>
    </row>
    <row r="3" spans="2:45" ht="16.5">
      <c r="B3" s="1"/>
      <c r="AS3" s="13" t="s">
        <v>237</v>
      </c>
    </row>
    <row r="4" spans="2:45" ht="16.5">
      <c r="D4" s="7" t="s">
        <v>238</v>
      </c>
    </row>
    <row r="5" spans="2:45" ht="15.75" thickBot="1"/>
    <row r="6" spans="2:45" ht="64.5" customHeight="1" thickBot="1">
      <c r="B6" s="327" t="s">
        <v>310</v>
      </c>
      <c r="C6" s="327" t="s">
        <v>311</v>
      </c>
      <c r="D6" s="311" t="s">
        <v>312</v>
      </c>
      <c r="E6" s="301" t="s">
        <v>240</v>
      </c>
      <c r="F6" s="302"/>
      <c r="G6" s="302"/>
      <c r="H6" s="303"/>
      <c r="I6" s="301" t="s">
        <v>241</v>
      </c>
      <c r="J6" s="302"/>
      <c r="K6" s="302"/>
      <c r="L6" s="303"/>
      <c r="M6" s="301" t="s">
        <v>51</v>
      </c>
      <c r="N6" s="302"/>
      <c r="O6" s="302"/>
      <c r="P6" s="302"/>
      <c r="Q6" s="302"/>
      <c r="R6" s="302"/>
      <c r="S6" s="302"/>
      <c r="T6" s="303"/>
      <c r="U6" s="301" t="s">
        <v>242</v>
      </c>
      <c r="V6" s="302"/>
      <c r="W6" s="302"/>
      <c r="X6" s="303"/>
      <c r="Y6" s="301" t="s">
        <v>359</v>
      </c>
      <c r="Z6" s="302"/>
      <c r="AA6" s="302"/>
      <c r="AB6" s="303"/>
    </row>
    <row r="7" spans="2:45" ht="32.25" customHeight="1" thickBot="1">
      <c r="B7" s="338"/>
      <c r="C7" s="338"/>
      <c r="D7" s="312"/>
      <c r="E7" s="327" t="s">
        <v>313</v>
      </c>
      <c r="F7" s="327" t="s">
        <v>4</v>
      </c>
      <c r="G7" s="327" t="s">
        <v>5</v>
      </c>
      <c r="H7" s="327" t="s">
        <v>6</v>
      </c>
      <c r="I7" s="327" t="s">
        <v>313</v>
      </c>
      <c r="J7" s="327" t="s">
        <v>4</v>
      </c>
      <c r="K7" s="327" t="s">
        <v>5</v>
      </c>
      <c r="L7" s="327" t="s">
        <v>6</v>
      </c>
      <c r="M7" s="332" t="s">
        <v>232</v>
      </c>
      <c r="N7" s="333"/>
      <c r="O7" s="332" t="s">
        <v>4</v>
      </c>
      <c r="P7" s="333"/>
      <c r="Q7" s="332" t="s">
        <v>5</v>
      </c>
      <c r="R7" s="333"/>
      <c r="S7" s="332" t="s">
        <v>6</v>
      </c>
      <c r="T7" s="333"/>
      <c r="U7" s="327" t="s">
        <v>313</v>
      </c>
      <c r="V7" s="327" t="s">
        <v>4</v>
      </c>
      <c r="W7" s="327" t="s">
        <v>316</v>
      </c>
      <c r="X7" s="327" t="s">
        <v>317</v>
      </c>
      <c r="Y7" s="327" t="s">
        <v>313</v>
      </c>
      <c r="Z7" s="327" t="s">
        <v>4</v>
      </c>
      <c r="AA7" s="327" t="s">
        <v>316</v>
      </c>
      <c r="AB7" s="327" t="s">
        <v>317</v>
      </c>
    </row>
    <row r="8" spans="2:45" ht="39" thickBot="1">
      <c r="B8" s="328"/>
      <c r="C8" s="328"/>
      <c r="D8" s="312"/>
      <c r="E8" s="338"/>
      <c r="F8" s="338"/>
      <c r="G8" s="338"/>
      <c r="H8" s="338"/>
      <c r="I8" s="338"/>
      <c r="J8" s="338"/>
      <c r="K8" s="338"/>
      <c r="L8" s="338"/>
      <c r="M8" s="9" t="s">
        <v>314</v>
      </c>
      <c r="N8" s="9" t="s">
        <v>141</v>
      </c>
      <c r="O8" s="9" t="s">
        <v>314</v>
      </c>
      <c r="P8" s="9" t="s">
        <v>141</v>
      </c>
      <c r="Q8" s="9" t="s">
        <v>314</v>
      </c>
      <c r="R8" s="9" t="s">
        <v>141</v>
      </c>
      <c r="S8" s="9" t="s">
        <v>314</v>
      </c>
      <c r="T8" s="27" t="s">
        <v>141</v>
      </c>
      <c r="U8" s="328"/>
      <c r="V8" s="328"/>
      <c r="W8" s="328"/>
      <c r="X8" s="328"/>
      <c r="Y8" s="328"/>
      <c r="Z8" s="328"/>
      <c r="AA8" s="328"/>
      <c r="AB8" s="328"/>
    </row>
    <row r="9" spans="2:45" ht="15.75" thickBot="1">
      <c r="B9" s="9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</row>
    <row r="10" spans="2:45" ht="26.25" thickBot="1">
      <c r="B10" s="185" t="s">
        <v>581</v>
      </c>
      <c r="C10" s="128" t="s">
        <v>582</v>
      </c>
      <c r="D10" s="186" t="s">
        <v>568</v>
      </c>
      <c r="E10" s="138">
        <v>14847</v>
      </c>
      <c r="F10" s="138">
        <v>15026</v>
      </c>
      <c r="G10" s="138">
        <v>15026</v>
      </c>
      <c r="H10" s="138">
        <v>14644</v>
      </c>
      <c r="I10" s="187">
        <v>0.32500000000000001</v>
      </c>
      <c r="J10" s="187">
        <v>0.32500000000000001</v>
      </c>
      <c r="K10" s="187">
        <v>0.33300000000000002</v>
      </c>
      <c r="L10" s="187">
        <v>0.34</v>
      </c>
      <c r="M10" s="138">
        <v>1399.59</v>
      </c>
      <c r="N10" s="138">
        <v>1399.59</v>
      </c>
      <c r="O10" s="138">
        <v>1390.8</v>
      </c>
      <c r="P10" s="138">
        <v>1390.8</v>
      </c>
      <c r="Q10" s="138">
        <v>1390.8</v>
      </c>
      <c r="R10" s="138">
        <v>1390.8</v>
      </c>
      <c r="S10" s="138">
        <v>1390.1</v>
      </c>
      <c r="T10" s="138">
        <v>1390.1</v>
      </c>
      <c r="U10" s="138"/>
      <c r="V10" s="138"/>
      <c r="W10" s="138"/>
      <c r="X10" s="138"/>
      <c r="Y10" s="138"/>
      <c r="Z10" s="138"/>
      <c r="AA10" s="138"/>
      <c r="AB10" s="138"/>
    </row>
    <row r="11" spans="2:45" ht="26.25" thickBot="1">
      <c r="B11" s="185" t="s">
        <v>583</v>
      </c>
      <c r="C11" s="128" t="s">
        <v>582</v>
      </c>
      <c r="D11" s="186" t="s">
        <v>568</v>
      </c>
      <c r="E11" s="138">
        <v>39101</v>
      </c>
      <c r="F11" s="138">
        <v>39068</v>
      </c>
      <c r="G11" s="138">
        <v>39068</v>
      </c>
      <c r="H11" s="138">
        <v>40530</v>
      </c>
      <c r="I11" s="187">
        <v>0.157</v>
      </c>
      <c r="J11" s="187">
        <v>0.157</v>
      </c>
      <c r="K11" s="187">
        <v>0.157</v>
      </c>
      <c r="L11" s="187">
        <v>0.1525</v>
      </c>
      <c r="M11" s="138">
        <v>793.2</v>
      </c>
      <c r="N11" s="138"/>
      <c r="O11" s="138">
        <v>793.2</v>
      </c>
      <c r="P11" s="138"/>
      <c r="Q11" s="138">
        <v>793.2</v>
      </c>
      <c r="R11" s="138"/>
      <c r="S11" s="138">
        <v>785.6</v>
      </c>
      <c r="T11" s="138"/>
      <c r="U11" s="138"/>
      <c r="V11" s="138"/>
      <c r="W11" s="138"/>
      <c r="X11" s="138"/>
      <c r="Y11" s="138">
        <v>11</v>
      </c>
      <c r="Z11" s="138">
        <v>11</v>
      </c>
      <c r="AA11" s="138">
        <v>11</v>
      </c>
      <c r="AB11" s="138">
        <v>11</v>
      </c>
    </row>
    <row r="12" spans="2:45" ht="26.25" thickBot="1">
      <c r="B12" s="185" t="s">
        <v>584</v>
      </c>
      <c r="C12" s="128" t="s">
        <v>582</v>
      </c>
      <c r="D12" s="186" t="s">
        <v>568</v>
      </c>
      <c r="E12" s="138">
        <v>30395</v>
      </c>
      <c r="F12" s="138">
        <v>22004</v>
      </c>
      <c r="G12" s="138">
        <v>22004</v>
      </c>
      <c r="H12" s="138">
        <v>22004</v>
      </c>
      <c r="I12" s="187">
        <v>8.3000000000000004E-2</v>
      </c>
      <c r="J12" s="187">
        <v>8.3000000000000004E-2</v>
      </c>
      <c r="K12" s="187">
        <v>8.3000000000000004E-2</v>
      </c>
      <c r="L12" s="187">
        <v>8.3199999999999996E-2</v>
      </c>
      <c r="M12" s="138">
        <v>117.6</v>
      </c>
      <c r="N12" s="138">
        <v>117.6</v>
      </c>
      <c r="O12" s="138">
        <v>117.6</v>
      </c>
      <c r="P12" s="138">
        <v>117.6</v>
      </c>
      <c r="Q12" s="138">
        <v>117.6</v>
      </c>
      <c r="R12" s="138">
        <v>117.6</v>
      </c>
      <c r="S12" s="138">
        <v>117.6</v>
      </c>
      <c r="T12" s="138">
        <v>117.6</v>
      </c>
      <c r="U12" s="138"/>
      <c r="V12" s="138"/>
      <c r="W12" s="138"/>
      <c r="X12" s="138"/>
      <c r="Y12" s="138">
        <v>8</v>
      </c>
      <c r="Z12" s="138">
        <v>8</v>
      </c>
      <c r="AA12" s="138">
        <v>8</v>
      </c>
      <c r="AB12" s="138">
        <v>8</v>
      </c>
    </row>
    <row r="13" spans="2:45" ht="15.75" thickBot="1"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45" ht="15.75" thickBot="1"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4"/>
    </row>
    <row r="15" spans="2:45" ht="15.75" thickBot="1"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7"/>
    </row>
    <row r="16" spans="2:45" ht="15.75" thickBot="1"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8" ht="15.75" thickBot="1"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ht="15.75" thickBot="1"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20" spans="2:28" ht="16.5">
      <c r="B20" s="7" t="s">
        <v>244</v>
      </c>
    </row>
    <row r="21" spans="2:28" ht="16.5">
      <c r="B21" s="14" t="s">
        <v>318</v>
      </c>
    </row>
    <row r="22" spans="2:28" ht="16.5">
      <c r="B22" s="14"/>
    </row>
  </sheetData>
  <mergeCells count="28">
    <mergeCell ref="B6:B8"/>
    <mergeCell ref="C6:C8"/>
    <mergeCell ref="AA7:AA8"/>
    <mergeCell ref="AB7:AB8"/>
    <mergeCell ref="M7:N7"/>
    <mergeCell ref="M6:T6"/>
    <mergeCell ref="U6:X6"/>
    <mergeCell ref="Y6:AB6"/>
    <mergeCell ref="O7:P7"/>
    <mergeCell ref="Q7:R7"/>
    <mergeCell ref="S7:T7"/>
    <mergeCell ref="U7:U8"/>
    <mergeCell ref="V7:V8"/>
    <mergeCell ref="W7:W8"/>
    <mergeCell ref="X7:X8"/>
    <mergeCell ref="Y7:Y8"/>
    <mergeCell ref="Z7:Z8"/>
    <mergeCell ref="I7:I8"/>
    <mergeCell ref="J7:J8"/>
    <mergeCell ref="K7:K8"/>
    <mergeCell ref="L7:L8"/>
    <mergeCell ref="D6:D8"/>
    <mergeCell ref="E6:H6"/>
    <mergeCell ref="I6:L6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O22"/>
  <sheetViews>
    <sheetView zoomScale="85" zoomScaleNormal="85" workbookViewId="0">
      <selection activeCell="D22" sqref="D22"/>
    </sheetView>
  </sheetViews>
  <sheetFormatPr defaultRowHeight="15"/>
  <cols>
    <col min="1" max="1" width="2.7109375" customWidth="1"/>
    <col min="2" max="2" width="15.85546875" customWidth="1"/>
    <col min="3" max="3" width="16.85546875" customWidth="1"/>
    <col min="4" max="4" width="22.42578125" customWidth="1"/>
    <col min="5" max="5" width="17.85546875" customWidth="1"/>
    <col min="7" max="7" width="12.5703125" customWidth="1"/>
    <col min="8" max="8" width="15" customWidth="1"/>
    <col min="9" max="9" width="11" customWidth="1"/>
    <col min="11" max="11" width="11.7109375" bestFit="1" customWidth="1"/>
    <col min="12" max="12" width="11.5703125" customWidth="1"/>
    <col min="13" max="13" width="15" customWidth="1"/>
    <col min="15" max="15" width="16.28515625" customWidth="1"/>
  </cols>
  <sheetData>
    <row r="2" spans="2:15" ht="16.5">
      <c r="O2" s="13" t="s">
        <v>245</v>
      </c>
    </row>
    <row r="3" spans="2:15" ht="16.5">
      <c r="B3" s="1"/>
    </row>
    <row r="4" spans="2:15" ht="16.5">
      <c r="D4" s="56" t="s">
        <v>246</v>
      </c>
    </row>
    <row r="5" spans="2:15" ht="15.75" thickBot="1"/>
    <row r="6" spans="2:15" ht="30.75" customHeight="1" thickBot="1">
      <c r="B6" s="360" t="s">
        <v>247</v>
      </c>
      <c r="C6" s="360" t="s">
        <v>211</v>
      </c>
      <c r="D6" s="360" t="s">
        <v>311</v>
      </c>
      <c r="E6" s="360" t="s">
        <v>239</v>
      </c>
      <c r="F6" s="363" t="s">
        <v>346</v>
      </c>
      <c r="G6" s="364"/>
      <c r="H6" s="364"/>
      <c r="I6" s="364"/>
      <c r="J6" s="364"/>
      <c r="K6" s="365"/>
      <c r="L6" s="366" t="s">
        <v>249</v>
      </c>
      <c r="M6" s="367"/>
      <c r="N6" s="368"/>
      <c r="O6" s="360" t="s">
        <v>260</v>
      </c>
    </row>
    <row r="7" spans="2:15" ht="15.75" thickBot="1">
      <c r="B7" s="361"/>
      <c r="C7" s="361"/>
      <c r="D7" s="361"/>
      <c r="E7" s="361"/>
      <c r="F7" s="360" t="s">
        <v>250</v>
      </c>
      <c r="G7" s="366" t="s">
        <v>251</v>
      </c>
      <c r="H7" s="367"/>
      <c r="I7" s="367"/>
      <c r="J7" s="368"/>
      <c r="K7" s="360" t="s">
        <v>252</v>
      </c>
      <c r="L7" s="360" t="s">
        <v>253</v>
      </c>
      <c r="M7" s="360" t="s">
        <v>254</v>
      </c>
      <c r="N7" s="360" t="s">
        <v>252</v>
      </c>
      <c r="O7" s="361"/>
    </row>
    <row r="8" spans="2:15" ht="39" thickBot="1">
      <c r="B8" s="362"/>
      <c r="C8" s="362"/>
      <c r="D8" s="362"/>
      <c r="E8" s="362"/>
      <c r="F8" s="362"/>
      <c r="G8" s="48" t="s">
        <v>255</v>
      </c>
      <c r="H8" s="49" t="s">
        <v>256</v>
      </c>
      <c r="I8" s="49" t="s">
        <v>257</v>
      </c>
      <c r="J8" s="49" t="s">
        <v>252</v>
      </c>
      <c r="K8" s="362"/>
      <c r="L8" s="362"/>
      <c r="M8" s="362"/>
      <c r="N8" s="362"/>
      <c r="O8" s="362"/>
    </row>
    <row r="9" spans="2:15" ht="15.75" thickBot="1">
      <c r="B9" s="50">
        <v>1</v>
      </c>
      <c r="C9" s="48">
        <v>2</v>
      </c>
      <c r="D9" s="48">
        <v>3</v>
      </c>
      <c r="E9" s="48">
        <v>4</v>
      </c>
      <c r="F9" s="48">
        <v>5</v>
      </c>
      <c r="G9" s="48">
        <v>6</v>
      </c>
      <c r="H9" s="48">
        <v>7</v>
      </c>
      <c r="I9" s="48">
        <v>8</v>
      </c>
      <c r="J9" s="48">
        <v>9</v>
      </c>
      <c r="K9" s="48">
        <v>10</v>
      </c>
      <c r="L9" s="48">
        <v>11</v>
      </c>
      <c r="M9" s="48">
        <v>12</v>
      </c>
      <c r="N9" s="48">
        <v>13</v>
      </c>
      <c r="O9" s="48">
        <v>14</v>
      </c>
    </row>
    <row r="10" spans="2:15" ht="15.75" thickBot="1">
      <c r="B10" s="188" t="s">
        <v>566</v>
      </c>
      <c r="C10" s="189" t="s">
        <v>589</v>
      </c>
      <c r="D10" s="189" t="s">
        <v>582</v>
      </c>
      <c r="E10" s="64" t="s">
        <v>586</v>
      </c>
      <c r="F10" s="190">
        <v>30526.799999999999</v>
      </c>
      <c r="G10" s="190">
        <v>0</v>
      </c>
      <c r="H10" s="190">
        <v>1390.1</v>
      </c>
      <c r="I10" s="190">
        <v>0</v>
      </c>
      <c r="J10" s="190">
        <f>G10+H10+I10</f>
        <v>1390.1</v>
      </c>
      <c r="K10" s="190">
        <f>F10+G10+I10+J10</f>
        <v>31916.899999999998</v>
      </c>
      <c r="L10" s="48">
        <v>8183.02</v>
      </c>
      <c r="M10" s="48">
        <v>2370.5</v>
      </c>
      <c r="N10" s="48">
        <f>L10+M10</f>
        <v>10553.52</v>
      </c>
      <c r="O10" s="48">
        <v>0</v>
      </c>
    </row>
    <row r="11" spans="2:15" ht="15.75" thickBot="1">
      <c r="B11" s="188" t="s">
        <v>566</v>
      </c>
      <c r="C11" s="189" t="s">
        <v>590</v>
      </c>
      <c r="D11" s="189" t="s">
        <v>582</v>
      </c>
      <c r="E11" s="64" t="s">
        <v>587</v>
      </c>
      <c r="F11" s="190">
        <v>14659.14</v>
      </c>
      <c r="G11" s="190">
        <v>0</v>
      </c>
      <c r="H11" s="190">
        <v>785.6</v>
      </c>
      <c r="I11" s="190">
        <v>0</v>
      </c>
      <c r="J11" s="190">
        <f>G11+H11+I11</f>
        <v>785.6</v>
      </c>
      <c r="K11" s="190">
        <f>F11+G11+I11+J11</f>
        <v>15444.74</v>
      </c>
      <c r="L11" s="48">
        <v>9702.23</v>
      </c>
      <c r="M11" s="48">
        <v>859.83</v>
      </c>
      <c r="N11" s="48">
        <f t="shared" ref="N11:N12" si="0">L11+M11</f>
        <v>10562.06</v>
      </c>
      <c r="O11" s="48">
        <v>4481982</v>
      </c>
    </row>
    <row r="12" spans="2:15" ht="15.75" thickBot="1">
      <c r="B12" s="188" t="s">
        <v>566</v>
      </c>
      <c r="C12" s="189" t="s">
        <v>446</v>
      </c>
      <c r="D12" s="189" t="s">
        <v>582</v>
      </c>
      <c r="E12" s="64" t="s">
        <v>588</v>
      </c>
      <c r="F12" s="190">
        <v>2483.12</v>
      </c>
      <c r="G12" s="190">
        <v>176.36</v>
      </c>
      <c r="H12" s="190">
        <v>117.6</v>
      </c>
      <c r="I12" s="190">
        <v>0</v>
      </c>
      <c r="J12" s="190">
        <f>G12+H12+I12</f>
        <v>293.96000000000004</v>
      </c>
      <c r="K12" s="190">
        <f>F12+J12</f>
        <v>2777.08</v>
      </c>
      <c r="L12" s="48">
        <v>3738.88</v>
      </c>
      <c r="M12" s="48">
        <v>165.65</v>
      </c>
      <c r="N12" s="48">
        <f t="shared" si="0"/>
        <v>3904.53</v>
      </c>
      <c r="O12" s="48"/>
    </row>
    <row r="13" spans="2:15" s="60" customFormat="1" ht="15.75" thickBot="1">
      <c r="B13" s="188"/>
      <c r="C13" s="189"/>
      <c r="D13" s="189"/>
      <c r="E13" s="189"/>
      <c r="F13" s="189"/>
      <c r="G13" s="189"/>
      <c r="H13" s="189"/>
      <c r="I13" s="189"/>
      <c r="J13" s="191" t="s">
        <v>585</v>
      </c>
      <c r="K13" s="192">
        <f>K11+K10+K12</f>
        <v>50138.720000000001</v>
      </c>
      <c r="L13" s="63"/>
      <c r="M13" s="63"/>
      <c r="N13" s="63">
        <v>25020.11</v>
      </c>
      <c r="O13" s="62">
        <v>4481982</v>
      </c>
    </row>
    <row r="15" spans="2:15" ht="16.5">
      <c r="B15" s="7" t="s">
        <v>244</v>
      </c>
    </row>
    <row r="16" spans="2:15" ht="19.5">
      <c r="B16" s="21" t="s">
        <v>345</v>
      </c>
    </row>
    <row r="17" spans="2:2" ht="16.5">
      <c r="B17" s="21" t="s">
        <v>309</v>
      </c>
    </row>
    <row r="18" spans="2:2" ht="16.5">
      <c r="B18" s="21"/>
    </row>
    <row r="19" spans="2:2" ht="16.5">
      <c r="B19" s="21"/>
    </row>
    <row r="20" spans="2:2" ht="16.5">
      <c r="B20" s="21"/>
    </row>
    <row r="21" spans="2:2" ht="16.5">
      <c r="B21" s="21"/>
    </row>
    <row r="22" spans="2:2" ht="16.5">
      <c r="B22" s="21"/>
    </row>
  </sheetData>
  <mergeCells count="13">
    <mergeCell ref="E6:E8"/>
    <mergeCell ref="D6:D8"/>
    <mergeCell ref="O6:O8"/>
    <mergeCell ref="B6:B8"/>
    <mergeCell ref="C6:C8"/>
    <mergeCell ref="F6:K6"/>
    <mergeCell ref="L6:N6"/>
    <mergeCell ref="F7:F8"/>
    <mergeCell ref="G7:J7"/>
    <mergeCell ref="K7:K8"/>
    <mergeCell ref="L7:L8"/>
    <mergeCell ref="M7:M8"/>
    <mergeCell ref="N7:N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AG32"/>
  <sheetViews>
    <sheetView workbookViewId="0">
      <selection activeCell="AB13" sqref="AB13:AC13"/>
    </sheetView>
  </sheetViews>
  <sheetFormatPr defaultRowHeight="15"/>
  <cols>
    <col min="1" max="1" width="3.28515625" customWidth="1"/>
    <col min="2" max="2" width="10.28515625" customWidth="1"/>
    <col min="4" max="5" width="10" customWidth="1"/>
    <col min="7" max="7" width="10.140625" customWidth="1"/>
    <col min="10" max="10" width="9.7109375" customWidth="1"/>
    <col min="13" max="13" width="9.5703125" customWidth="1"/>
    <col min="16" max="16" width="10.5703125" customWidth="1"/>
  </cols>
  <sheetData>
    <row r="3" spans="2:33" ht="16.5">
      <c r="B3" s="1"/>
      <c r="AG3" s="13" t="s">
        <v>258</v>
      </c>
    </row>
    <row r="4" spans="2:33" ht="16.5">
      <c r="J4" s="7" t="s">
        <v>259</v>
      </c>
    </row>
    <row r="5" spans="2:33" ht="17.25" thickBot="1">
      <c r="B5" s="1"/>
    </row>
    <row r="6" spans="2:33" ht="42" customHeight="1" thickBot="1">
      <c r="B6" s="375" t="s">
        <v>310</v>
      </c>
      <c r="C6" s="375" t="s">
        <v>239</v>
      </c>
      <c r="D6" s="369" t="s">
        <v>248</v>
      </c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1"/>
      <c r="P6" s="369" t="s">
        <v>249</v>
      </c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1"/>
      <c r="AB6" s="369" t="s">
        <v>260</v>
      </c>
      <c r="AC6" s="370"/>
      <c r="AD6" s="370"/>
      <c r="AE6" s="370"/>
      <c r="AF6" s="370"/>
      <c r="AG6" s="371"/>
    </row>
    <row r="7" spans="2:33" ht="22.5" customHeight="1" thickBot="1">
      <c r="B7" s="377"/>
      <c r="C7" s="377"/>
      <c r="D7" s="370" t="s">
        <v>261</v>
      </c>
      <c r="E7" s="371"/>
      <c r="F7" s="369" t="s">
        <v>262</v>
      </c>
      <c r="G7" s="370"/>
      <c r="H7" s="370"/>
      <c r="I7" s="370"/>
      <c r="J7" s="370"/>
      <c r="K7" s="370"/>
      <c r="L7" s="370"/>
      <c r="M7" s="370"/>
      <c r="N7" s="370"/>
      <c r="O7" s="371"/>
      <c r="P7" s="369" t="s">
        <v>261</v>
      </c>
      <c r="Q7" s="371"/>
      <c r="R7" s="369" t="s">
        <v>262</v>
      </c>
      <c r="S7" s="370"/>
      <c r="T7" s="370"/>
      <c r="U7" s="370"/>
      <c r="V7" s="370"/>
      <c r="W7" s="370"/>
      <c r="X7" s="370"/>
      <c r="Y7" s="370"/>
      <c r="Z7" s="370"/>
      <c r="AA7" s="371"/>
      <c r="AB7" s="369" t="s">
        <v>261</v>
      </c>
      <c r="AC7" s="371"/>
      <c r="AD7" s="369" t="s">
        <v>262</v>
      </c>
      <c r="AE7" s="370"/>
      <c r="AF7" s="370"/>
      <c r="AG7" s="371"/>
    </row>
    <row r="8" spans="2:33" ht="15.75" thickBot="1">
      <c r="B8" s="377"/>
      <c r="C8" s="377"/>
      <c r="D8" s="374" t="s">
        <v>243</v>
      </c>
      <c r="E8" s="375" t="s">
        <v>263</v>
      </c>
      <c r="F8" s="372" t="s">
        <v>232</v>
      </c>
      <c r="G8" s="373"/>
      <c r="H8" s="374"/>
      <c r="I8" s="372" t="s">
        <v>263</v>
      </c>
      <c r="J8" s="373"/>
      <c r="K8" s="374"/>
      <c r="L8" s="372" t="s">
        <v>264</v>
      </c>
      <c r="M8" s="373"/>
      <c r="N8" s="374"/>
      <c r="O8" s="375" t="s">
        <v>265</v>
      </c>
      <c r="P8" s="375" t="s">
        <v>243</v>
      </c>
      <c r="Q8" s="375" t="s">
        <v>263</v>
      </c>
      <c r="R8" s="372" t="s">
        <v>232</v>
      </c>
      <c r="S8" s="373"/>
      <c r="T8" s="374"/>
      <c r="U8" s="369" t="s">
        <v>263</v>
      </c>
      <c r="V8" s="370"/>
      <c r="W8" s="371"/>
      <c r="X8" s="372" t="s">
        <v>264</v>
      </c>
      <c r="Y8" s="373"/>
      <c r="Z8" s="374"/>
      <c r="AA8" s="375" t="s">
        <v>266</v>
      </c>
      <c r="AB8" s="375" t="s">
        <v>243</v>
      </c>
      <c r="AC8" s="375" t="s">
        <v>263</v>
      </c>
      <c r="AD8" s="375" t="s">
        <v>243</v>
      </c>
      <c r="AE8" s="375" t="s">
        <v>263</v>
      </c>
      <c r="AF8" s="375" t="s">
        <v>267</v>
      </c>
      <c r="AG8" s="375" t="s">
        <v>49</v>
      </c>
    </row>
    <row r="9" spans="2:33" ht="17.25" thickBot="1">
      <c r="B9" s="376"/>
      <c r="C9" s="376"/>
      <c r="D9" s="378"/>
      <c r="E9" s="376"/>
      <c r="F9" s="55" t="s">
        <v>250</v>
      </c>
      <c r="G9" s="52" t="s">
        <v>251</v>
      </c>
      <c r="H9" s="52" t="s">
        <v>252</v>
      </c>
      <c r="I9" s="55" t="s">
        <v>250</v>
      </c>
      <c r="J9" s="52" t="s">
        <v>251</v>
      </c>
      <c r="K9" s="52" t="s">
        <v>252</v>
      </c>
      <c r="L9" s="55" t="s">
        <v>250</v>
      </c>
      <c r="M9" s="52" t="s">
        <v>251</v>
      </c>
      <c r="N9" s="52" t="s">
        <v>252</v>
      </c>
      <c r="O9" s="376"/>
      <c r="P9" s="376"/>
      <c r="Q9" s="376"/>
      <c r="R9" s="55" t="s">
        <v>253</v>
      </c>
      <c r="S9" s="52" t="s">
        <v>254</v>
      </c>
      <c r="T9" s="52" t="s">
        <v>252</v>
      </c>
      <c r="U9" s="51" t="s">
        <v>253</v>
      </c>
      <c r="V9" s="51" t="s">
        <v>254</v>
      </c>
      <c r="W9" s="51" t="s">
        <v>252</v>
      </c>
      <c r="X9" s="55" t="s">
        <v>253</v>
      </c>
      <c r="Y9" s="52" t="s">
        <v>254</v>
      </c>
      <c r="Z9" s="52" t="s">
        <v>252</v>
      </c>
      <c r="AA9" s="376"/>
      <c r="AB9" s="376"/>
      <c r="AC9" s="376"/>
      <c r="AD9" s="376"/>
      <c r="AE9" s="376"/>
      <c r="AF9" s="376"/>
      <c r="AG9" s="376"/>
    </row>
    <row r="10" spans="2:33" ht="15.75" thickBot="1">
      <c r="B10" s="53">
        <v>1</v>
      </c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  <c r="I10" s="51">
        <v>8</v>
      </c>
      <c r="J10" s="51">
        <v>9</v>
      </c>
      <c r="K10" s="51">
        <v>10</v>
      </c>
      <c r="L10" s="51">
        <v>11</v>
      </c>
      <c r="M10" s="51">
        <v>12</v>
      </c>
      <c r="N10" s="51">
        <v>13</v>
      </c>
      <c r="O10" s="51">
        <v>14</v>
      </c>
      <c r="P10" s="51">
        <v>15</v>
      </c>
      <c r="Q10" s="51">
        <v>16</v>
      </c>
      <c r="R10" s="51">
        <v>17</v>
      </c>
      <c r="S10" s="51">
        <v>18</v>
      </c>
      <c r="T10" s="51">
        <v>19</v>
      </c>
      <c r="U10" s="51">
        <v>20</v>
      </c>
      <c r="V10" s="51">
        <v>21</v>
      </c>
      <c r="W10" s="51">
        <v>22</v>
      </c>
      <c r="X10" s="51">
        <v>23</v>
      </c>
      <c r="Y10" s="51">
        <v>24</v>
      </c>
      <c r="Z10" s="51">
        <v>25</v>
      </c>
      <c r="AA10" s="51">
        <v>26</v>
      </c>
      <c r="AB10" s="51">
        <v>27</v>
      </c>
      <c r="AC10" s="51">
        <v>28</v>
      </c>
      <c r="AD10" s="51">
        <v>29</v>
      </c>
      <c r="AE10" s="51">
        <v>30</v>
      </c>
      <c r="AF10" s="51">
        <v>31</v>
      </c>
      <c r="AG10" s="51">
        <v>32</v>
      </c>
    </row>
    <row r="11" spans="2:33" ht="23.25" thickBot="1">
      <c r="B11" s="61" t="s">
        <v>591</v>
      </c>
      <c r="C11" s="193" t="s">
        <v>568</v>
      </c>
      <c r="D11" s="194">
        <f>D13+D14+D15</f>
        <v>34770</v>
      </c>
      <c r="E11" s="194">
        <f>E13+E14+E15</f>
        <v>29658</v>
      </c>
      <c r="F11" s="194">
        <f>F13+F14+F15</f>
        <v>48978</v>
      </c>
      <c r="G11" s="194">
        <v>0</v>
      </c>
      <c r="H11" s="194">
        <f>F11+G11</f>
        <v>48978</v>
      </c>
      <c r="I11" s="194">
        <f>I13+I14+I15</f>
        <v>48978</v>
      </c>
      <c r="J11" s="194">
        <v>0</v>
      </c>
      <c r="K11" s="194">
        <f>I11+J11</f>
        <v>48978</v>
      </c>
      <c r="L11" s="194">
        <f>L13+L14+L15</f>
        <v>48978</v>
      </c>
      <c r="M11" s="194">
        <v>0</v>
      </c>
      <c r="N11" s="194">
        <f>L11+M11</f>
        <v>48978</v>
      </c>
      <c r="O11" s="195">
        <f>O13+O14+O15</f>
        <v>50139</v>
      </c>
      <c r="P11" s="194">
        <v>17976</v>
      </c>
      <c r="Q11" s="194">
        <v>17976</v>
      </c>
      <c r="R11" s="194">
        <f t="shared" ref="R11:W11" si="0">R13+R14+R15</f>
        <v>23544</v>
      </c>
      <c r="S11" s="194">
        <f t="shared" si="0"/>
        <v>3252</v>
      </c>
      <c r="T11" s="194">
        <f t="shared" si="0"/>
        <v>26796</v>
      </c>
      <c r="U11" s="194">
        <f t="shared" si="0"/>
        <v>21514.799999999999</v>
      </c>
      <c r="V11" s="194">
        <f t="shared" si="0"/>
        <v>3396.94</v>
      </c>
      <c r="W11" s="194">
        <f t="shared" si="0"/>
        <v>24911.74</v>
      </c>
      <c r="X11" s="194">
        <f>X13+X14+X15</f>
        <v>21514.799999999999</v>
      </c>
      <c r="Y11" s="194">
        <f>Y13+Y14+Y15</f>
        <v>3396.94</v>
      </c>
      <c r="Z11" s="194">
        <f>Z13+Z14+Z15</f>
        <v>24911.74</v>
      </c>
      <c r="AA11" s="195">
        <f>AA13+AA14+AA15</f>
        <v>25020</v>
      </c>
      <c r="AB11" s="195">
        <v>4009</v>
      </c>
      <c r="AC11" s="195">
        <v>3730</v>
      </c>
      <c r="AD11" s="195">
        <v>4356</v>
      </c>
      <c r="AE11" s="195">
        <v>4356</v>
      </c>
      <c r="AF11" s="195">
        <v>4348</v>
      </c>
      <c r="AG11" s="195">
        <v>4482</v>
      </c>
    </row>
    <row r="12" spans="2:33" ht="15.75" thickBot="1">
      <c r="B12" s="61"/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5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5"/>
      <c r="AB12" s="195"/>
      <c r="AC12" s="195"/>
      <c r="AD12" s="195"/>
      <c r="AE12" s="195"/>
      <c r="AF12" s="195"/>
      <c r="AG12" s="195"/>
    </row>
    <row r="13" spans="2:33" ht="23.25" thickBot="1">
      <c r="B13" s="61" t="s">
        <v>589</v>
      </c>
      <c r="C13" s="193" t="s">
        <v>568</v>
      </c>
      <c r="D13" s="194">
        <v>17712</v>
      </c>
      <c r="E13" s="194">
        <v>17027</v>
      </c>
      <c r="F13" s="194">
        <v>30492</v>
      </c>
      <c r="G13" s="194">
        <v>0</v>
      </c>
      <c r="H13" s="194">
        <f>F13+G13</f>
        <v>30492</v>
      </c>
      <c r="I13" s="194">
        <v>30492</v>
      </c>
      <c r="J13" s="194">
        <v>0</v>
      </c>
      <c r="K13" s="194">
        <f>I13+J13</f>
        <v>30492</v>
      </c>
      <c r="L13" s="194">
        <v>30492</v>
      </c>
      <c r="M13" s="194">
        <v>0</v>
      </c>
      <c r="N13" s="194">
        <f>L13+M13</f>
        <v>30492</v>
      </c>
      <c r="O13" s="195">
        <v>31917</v>
      </c>
      <c r="P13" s="194">
        <v>6320</v>
      </c>
      <c r="Q13" s="194">
        <v>6109</v>
      </c>
      <c r="R13" s="194">
        <f>8283</f>
        <v>8283</v>
      </c>
      <c r="S13" s="194">
        <v>2253</v>
      </c>
      <c r="T13" s="194">
        <f>R13+S13</f>
        <v>10536</v>
      </c>
      <c r="U13" s="194">
        <v>8221.7999999999993</v>
      </c>
      <c r="V13" s="194">
        <v>2364.2800000000002</v>
      </c>
      <c r="W13" s="194">
        <f>U13+V13</f>
        <v>10586.08</v>
      </c>
      <c r="X13" s="194">
        <v>8221.7999999999993</v>
      </c>
      <c r="Y13" s="194">
        <v>2364.2800000000002</v>
      </c>
      <c r="Z13" s="194">
        <f>X13+Y13</f>
        <v>10586.08</v>
      </c>
      <c r="AA13" s="195">
        <v>10553</v>
      </c>
      <c r="AB13" s="195" t="s">
        <v>16</v>
      </c>
      <c r="AC13" s="195" t="s">
        <v>16</v>
      </c>
      <c r="AD13" s="195" t="s">
        <v>16</v>
      </c>
      <c r="AE13" s="195" t="s">
        <v>16</v>
      </c>
      <c r="AF13" s="195" t="s">
        <v>16</v>
      </c>
      <c r="AG13" s="195" t="s">
        <v>16</v>
      </c>
    </row>
    <row r="14" spans="2:33" ht="23.25" thickBot="1">
      <c r="B14" s="61" t="s">
        <v>592</v>
      </c>
      <c r="C14" s="193" t="s">
        <v>568</v>
      </c>
      <c r="D14" s="194">
        <v>17058</v>
      </c>
      <c r="E14" s="194">
        <v>12631</v>
      </c>
      <c r="F14" s="194">
        <v>15373</v>
      </c>
      <c r="G14" s="194">
        <v>0</v>
      </c>
      <c r="H14" s="194">
        <f>F14+G14</f>
        <v>15373</v>
      </c>
      <c r="I14" s="194">
        <v>15373</v>
      </c>
      <c r="J14" s="194">
        <v>0</v>
      </c>
      <c r="K14" s="194">
        <f>I14+J14</f>
        <v>15373</v>
      </c>
      <c r="L14" s="194">
        <v>15373</v>
      </c>
      <c r="M14" s="194">
        <v>0</v>
      </c>
      <c r="N14" s="194">
        <f>L14+M14</f>
        <v>15373</v>
      </c>
      <c r="O14" s="195">
        <v>15445</v>
      </c>
      <c r="P14" s="194">
        <v>7280</v>
      </c>
      <c r="Q14" s="194">
        <v>6022</v>
      </c>
      <c r="R14" s="194">
        <v>9539</v>
      </c>
      <c r="S14" s="194">
        <v>836</v>
      </c>
      <c r="T14" s="194">
        <f>R14+S14</f>
        <v>10375</v>
      </c>
      <c r="U14" s="194">
        <v>9564.75</v>
      </c>
      <c r="V14" s="194">
        <v>867.43</v>
      </c>
      <c r="W14" s="194">
        <f>U14+V14</f>
        <v>10432.18</v>
      </c>
      <c r="X14" s="194">
        <v>9564.75</v>
      </c>
      <c r="Y14" s="194">
        <v>867.43</v>
      </c>
      <c r="Z14" s="194">
        <f>X14+Y14</f>
        <v>10432.18</v>
      </c>
      <c r="AA14" s="195">
        <v>10562</v>
      </c>
      <c r="AB14" s="195">
        <v>4009</v>
      </c>
      <c r="AC14" s="195">
        <v>3730</v>
      </c>
      <c r="AD14" s="195">
        <v>4356</v>
      </c>
      <c r="AE14" s="195">
        <v>4356</v>
      </c>
      <c r="AF14" s="195">
        <v>4348</v>
      </c>
      <c r="AG14" s="195">
        <v>4482</v>
      </c>
    </row>
    <row r="15" spans="2:33" s="60" customFormat="1" ht="23.25" thickBot="1">
      <c r="B15" s="61" t="s">
        <v>446</v>
      </c>
      <c r="C15" s="193" t="s">
        <v>568</v>
      </c>
      <c r="D15" s="194">
        <v>0</v>
      </c>
      <c r="E15" s="194">
        <v>0</v>
      </c>
      <c r="F15" s="194">
        <v>3113</v>
      </c>
      <c r="G15" s="194">
        <v>0</v>
      </c>
      <c r="H15" s="194">
        <f>F15+G15</f>
        <v>3113</v>
      </c>
      <c r="I15" s="194">
        <v>3113</v>
      </c>
      <c r="J15" s="194">
        <v>0</v>
      </c>
      <c r="K15" s="194">
        <f>I15+J15</f>
        <v>3113</v>
      </c>
      <c r="L15" s="194">
        <v>3113</v>
      </c>
      <c r="M15" s="194">
        <v>0</v>
      </c>
      <c r="N15" s="194">
        <f>L15+M15</f>
        <v>3113</v>
      </c>
      <c r="O15" s="195">
        <v>2777</v>
      </c>
      <c r="P15" s="194">
        <v>4366</v>
      </c>
      <c r="Q15" s="194">
        <v>2247</v>
      </c>
      <c r="R15" s="194">
        <v>5722</v>
      </c>
      <c r="S15" s="194">
        <v>163</v>
      </c>
      <c r="T15" s="194">
        <f>R15+S15</f>
        <v>5885</v>
      </c>
      <c r="U15" s="194">
        <v>3728.25</v>
      </c>
      <c r="V15" s="194">
        <v>165.23</v>
      </c>
      <c r="W15" s="194">
        <f>U15+V15</f>
        <v>3893.48</v>
      </c>
      <c r="X15" s="194">
        <v>3728.25</v>
      </c>
      <c r="Y15" s="194">
        <v>165.23</v>
      </c>
      <c r="Z15" s="194">
        <f>X15+Y15</f>
        <v>3893.48</v>
      </c>
      <c r="AA15" s="195">
        <v>3905</v>
      </c>
      <c r="AB15" s="195"/>
      <c r="AC15" s="195"/>
      <c r="AD15" s="195"/>
      <c r="AE15" s="195"/>
      <c r="AF15" s="195"/>
      <c r="AG15" s="195"/>
    </row>
    <row r="16" spans="2:33" ht="16.5">
      <c r="B16" s="1"/>
    </row>
    <row r="17" spans="2:2" ht="16.5">
      <c r="B17" s="7" t="s">
        <v>244</v>
      </c>
    </row>
    <row r="18" spans="2:2" ht="19.5">
      <c r="B18" s="21" t="s">
        <v>345</v>
      </c>
    </row>
    <row r="19" spans="2:2" ht="16.5">
      <c r="B19" s="21" t="s">
        <v>309</v>
      </c>
    </row>
    <row r="20" spans="2:2" ht="16.5">
      <c r="B20" s="21"/>
    </row>
    <row r="21" spans="2:2" ht="16.5">
      <c r="B21" s="21"/>
    </row>
    <row r="22" spans="2:2" ht="16.5">
      <c r="B22" s="21"/>
    </row>
    <row r="24" spans="2:2" ht="16.5">
      <c r="B24" s="21"/>
    </row>
    <row r="25" spans="2:2">
      <c r="B25" s="41"/>
    </row>
    <row r="26" spans="2:2">
      <c r="B26" s="41"/>
    </row>
    <row r="27" spans="2:2">
      <c r="B27" s="41"/>
    </row>
    <row r="28" spans="2:2">
      <c r="B28" s="41"/>
    </row>
    <row r="29" spans="2:2">
      <c r="B29" s="41"/>
    </row>
    <row r="30" spans="2:2">
      <c r="B30" s="41"/>
    </row>
    <row r="31" spans="2:2">
      <c r="B31" s="41"/>
    </row>
    <row r="32" spans="2:2">
      <c r="B32" s="41"/>
    </row>
  </sheetData>
  <mergeCells count="29">
    <mergeCell ref="AF8:AF9"/>
    <mergeCell ref="AG8:AG9"/>
    <mergeCell ref="B6:B9"/>
    <mergeCell ref="X8:Z8"/>
    <mergeCell ref="AA8:AA9"/>
    <mergeCell ref="AB8:AB9"/>
    <mergeCell ref="AC8:AC9"/>
    <mergeCell ref="AD8:AD9"/>
    <mergeCell ref="AE8:AE9"/>
    <mergeCell ref="P8:P9"/>
    <mergeCell ref="Q8:Q9"/>
    <mergeCell ref="R8:T8"/>
    <mergeCell ref="U8:W8"/>
    <mergeCell ref="D8:D9"/>
    <mergeCell ref="E8:E9"/>
    <mergeCell ref="F8:H8"/>
    <mergeCell ref="I8:K8"/>
    <mergeCell ref="L8:N8"/>
    <mergeCell ref="O8:O9"/>
    <mergeCell ref="C6:C9"/>
    <mergeCell ref="D6:O6"/>
    <mergeCell ref="P6:AA6"/>
    <mergeCell ref="AB6:AG6"/>
    <mergeCell ref="D7:E7"/>
    <mergeCell ref="F7:O7"/>
    <mergeCell ref="P7:Q7"/>
    <mergeCell ref="R7:AA7"/>
    <mergeCell ref="AB7:AC7"/>
    <mergeCell ref="AD7:AG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12"/>
  <sheetViews>
    <sheetView zoomScale="85" zoomScaleNormal="85" workbookViewId="0">
      <selection activeCell="G22" sqref="G22"/>
    </sheetView>
  </sheetViews>
  <sheetFormatPr defaultRowHeight="15"/>
  <cols>
    <col min="3" max="3" width="38.85546875" customWidth="1"/>
    <col min="4" max="4" width="15.42578125" customWidth="1"/>
    <col min="5" max="5" width="16.7109375" customWidth="1"/>
    <col min="6" max="6" width="15.140625" customWidth="1"/>
    <col min="7" max="7" width="14.28515625" customWidth="1"/>
    <col min="8" max="8" width="16.42578125" customWidth="1"/>
  </cols>
  <sheetData>
    <row r="2" spans="2:8" ht="16.5">
      <c r="B2" s="13"/>
    </row>
    <row r="3" spans="2:8" ht="16.5">
      <c r="B3" s="1"/>
    </row>
    <row r="4" spans="2:8" ht="16.5">
      <c r="B4" s="15"/>
      <c r="H4" s="13" t="s">
        <v>268</v>
      </c>
    </row>
    <row r="5" spans="2:8" ht="16.5">
      <c r="B5" s="7" t="s">
        <v>303</v>
      </c>
    </row>
    <row r="6" spans="2:8" ht="15.75" thickBot="1"/>
    <row r="7" spans="2:8" ht="51.75" customHeight="1" thickBot="1">
      <c r="B7" s="327" t="s">
        <v>269</v>
      </c>
      <c r="C7" s="327" t="s">
        <v>270</v>
      </c>
      <c r="D7" s="332" t="s">
        <v>271</v>
      </c>
      <c r="E7" s="333"/>
      <c r="F7" s="327" t="s">
        <v>599</v>
      </c>
      <c r="G7" s="327" t="s">
        <v>304</v>
      </c>
      <c r="H7" s="327" t="s">
        <v>305</v>
      </c>
    </row>
    <row r="8" spans="2:8" ht="39" thickBot="1">
      <c r="B8" s="328"/>
      <c r="C8" s="328"/>
      <c r="D8" s="9" t="s">
        <v>307</v>
      </c>
      <c r="E8" s="10" t="s">
        <v>306</v>
      </c>
      <c r="F8" s="328"/>
      <c r="G8" s="328"/>
      <c r="H8" s="328"/>
    </row>
    <row r="9" spans="2:8" ht="15.75" thickBot="1">
      <c r="B9" s="29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</row>
    <row r="10" spans="2:8" ht="48.75" customHeight="1" thickBot="1">
      <c r="B10" s="125">
        <v>1</v>
      </c>
      <c r="C10" s="196" t="s">
        <v>593</v>
      </c>
      <c r="D10" s="197" t="s">
        <v>597</v>
      </c>
      <c r="E10" s="197">
        <v>3106.7</v>
      </c>
      <c r="F10" s="197">
        <v>8719.76</v>
      </c>
      <c r="G10" s="125">
        <v>2.81</v>
      </c>
      <c r="H10" s="125" t="s">
        <v>595</v>
      </c>
    </row>
    <row r="11" spans="2:8" ht="40.5" customHeight="1" thickBot="1">
      <c r="B11" s="125">
        <v>2</v>
      </c>
      <c r="C11" s="198" t="s">
        <v>594</v>
      </c>
      <c r="D11" s="178" t="s">
        <v>598</v>
      </c>
      <c r="E11" s="178">
        <v>4.1849999999999996</v>
      </c>
      <c r="F11" s="125" t="s">
        <v>16</v>
      </c>
      <c r="G11" s="125" t="s">
        <v>16</v>
      </c>
      <c r="H11" s="125" t="s">
        <v>596</v>
      </c>
    </row>
    <row r="12" spans="2:8" ht="15.75" thickBot="1">
      <c r="B12" s="6"/>
      <c r="C12" s="5"/>
      <c r="D12" s="5"/>
      <c r="E12" s="5"/>
      <c r="F12" s="5"/>
      <c r="G12" s="5"/>
      <c r="H12" s="5"/>
    </row>
  </sheetData>
  <mergeCells count="6">
    <mergeCell ref="H7:H8"/>
    <mergeCell ref="B7:B8"/>
    <mergeCell ref="C7:C8"/>
    <mergeCell ref="D7:E7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55"/>
  <sheetViews>
    <sheetView topLeftCell="A19" zoomScale="85" zoomScaleNormal="85" workbookViewId="0">
      <selection activeCell="H32" sqref="H32"/>
    </sheetView>
  </sheetViews>
  <sheetFormatPr defaultRowHeight="15"/>
  <cols>
    <col min="2" max="2" width="5.42578125" customWidth="1"/>
    <col min="3" max="3" width="41" customWidth="1"/>
    <col min="4" max="4" width="24.42578125" customWidth="1"/>
    <col min="5" max="5" width="24.28515625" customWidth="1"/>
    <col min="6" max="6" width="17.140625" customWidth="1"/>
    <col min="7" max="7" width="17.7109375" customWidth="1"/>
  </cols>
  <sheetData>
    <row r="2" spans="2:7" ht="16.5">
      <c r="G2" s="13" t="s">
        <v>272</v>
      </c>
    </row>
    <row r="3" spans="2:7" ht="16.5">
      <c r="G3" s="13" t="s">
        <v>206</v>
      </c>
    </row>
    <row r="4" spans="2:7" ht="16.5">
      <c r="G4" s="13" t="s">
        <v>207</v>
      </c>
    </row>
    <row r="5" spans="2:7" ht="16.5">
      <c r="G5" s="13" t="s">
        <v>208</v>
      </c>
    </row>
    <row r="6" spans="2:7" ht="16.5">
      <c r="G6" s="13" t="s">
        <v>209</v>
      </c>
    </row>
    <row r="7" spans="2:7" ht="16.5">
      <c r="B7" s="1"/>
    </row>
    <row r="8" spans="2:7" ht="16.5">
      <c r="C8" s="7" t="s">
        <v>273</v>
      </c>
    </row>
    <row r="9" spans="2:7" ht="15.75" thickBot="1"/>
    <row r="10" spans="2:7" ht="26.25" thickBot="1">
      <c r="B10" s="327" t="s">
        <v>274</v>
      </c>
      <c r="C10" s="382" t="s">
        <v>275</v>
      </c>
      <c r="D10" s="10" t="s">
        <v>276</v>
      </c>
      <c r="E10" s="10" t="s">
        <v>277</v>
      </c>
      <c r="F10" s="10" t="s">
        <v>278</v>
      </c>
      <c r="G10" s="10" t="s">
        <v>279</v>
      </c>
    </row>
    <row r="11" spans="2:7" ht="26.25" thickBot="1">
      <c r="B11" s="328"/>
      <c r="C11" s="383"/>
      <c r="D11" s="2" t="s">
        <v>280</v>
      </c>
      <c r="E11" s="2" t="s">
        <v>280</v>
      </c>
      <c r="F11" s="2" t="s">
        <v>281</v>
      </c>
      <c r="G11" s="2" t="s">
        <v>282</v>
      </c>
    </row>
    <row r="12" spans="2:7" ht="15.75" thickBot="1">
      <c r="B12" s="29">
        <v>1</v>
      </c>
      <c r="C12" s="384" t="s">
        <v>283</v>
      </c>
      <c r="D12" s="385"/>
      <c r="E12" s="385"/>
      <c r="F12" s="385"/>
      <c r="G12" s="386"/>
    </row>
    <row r="13" spans="2:7" ht="15.75" thickBot="1">
      <c r="B13" s="327">
        <v>1.1000000000000001</v>
      </c>
      <c r="C13" s="47" t="s">
        <v>284</v>
      </c>
      <c r="D13" s="379"/>
      <c r="E13" s="380"/>
      <c r="F13" s="380"/>
      <c r="G13" s="381"/>
    </row>
    <row r="14" spans="2:7" ht="15.75" thickBot="1">
      <c r="B14" s="338"/>
      <c r="C14" s="54" t="s">
        <v>285</v>
      </c>
      <c r="D14" s="5"/>
      <c r="E14" s="37"/>
      <c r="F14" s="37"/>
      <c r="G14" s="37"/>
    </row>
    <row r="15" spans="2:7" ht="15.75" thickBot="1">
      <c r="B15" s="338"/>
      <c r="C15" s="38" t="s">
        <v>286</v>
      </c>
      <c r="D15" s="34"/>
      <c r="E15" s="34"/>
      <c r="F15" s="34"/>
      <c r="G15" s="34"/>
    </row>
    <row r="16" spans="2:7" ht="15.75" thickBot="1">
      <c r="B16" s="328"/>
      <c r="C16" s="38" t="s">
        <v>287</v>
      </c>
      <c r="D16" s="5"/>
      <c r="E16" s="5"/>
      <c r="F16" s="5"/>
      <c r="G16" s="5"/>
    </row>
    <row r="17" spans="2:7" ht="15.75" thickBot="1">
      <c r="B17" s="327">
        <v>1.2</v>
      </c>
      <c r="C17" s="38" t="s">
        <v>288</v>
      </c>
      <c r="D17" s="379"/>
      <c r="E17" s="380"/>
      <c r="F17" s="380"/>
      <c r="G17" s="381"/>
    </row>
    <row r="18" spans="2:7" ht="15.75" thickBot="1">
      <c r="B18" s="338"/>
      <c r="C18" s="38" t="s">
        <v>285</v>
      </c>
      <c r="D18" s="5"/>
      <c r="E18" s="5"/>
      <c r="F18" s="5"/>
      <c r="G18" s="5"/>
    </row>
    <row r="19" spans="2:7" ht="15.75" thickBot="1">
      <c r="B19" s="338"/>
      <c r="C19" s="38" t="s">
        <v>286</v>
      </c>
      <c r="D19" s="5"/>
      <c r="E19" s="5"/>
      <c r="F19" s="5"/>
      <c r="G19" s="5"/>
    </row>
    <row r="20" spans="2:7" ht="15.75" thickBot="1">
      <c r="B20" s="328"/>
      <c r="C20" s="38" t="s">
        <v>287</v>
      </c>
      <c r="D20" s="5"/>
      <c r="E20" s="5"/>
      <c r="F20" s="5"/>
      <c r="G20" s="5"/>
    </row>
    <row r="21" spans="2:7" ht="26.25" thickBot="1">
      <c r="B21" s="327">
        <v>1.3</v>
      </c>
      <c r="C21" s="38" t="s">
        <v>289</v>
      </c>
      <c r="D21" s="387"/>
      <c r="E21" s="387"/>
      <c r="F21" s="387"/>
      <c r="G21" s="387"/>
    </row>
    <row r="22" spans="2:7" ht="15.75" thickBot="1">
      <c r="B22" s="338"/>
      <c r="C22" s="38" t="s">
        <v>285</v>
      </c>
      <c r="D22" s="388"/>
      <c r="E22" s="388"/>
      <c r="F22" s="388"/>
      <c r="G22" s="388"/>
    </row>
    <row r="23" spans="2:7" ht="15.75" thickBot="1">
      <c r="B23" s="338"/>
      <c r="C23" s="38" t="s">
        <v>286</v>
      </c>
      <c r="D23" s="5"/>
      <c r="E23" s="5"/>
      <c r="F23" s="5"/>
      <c r="G23" s="5"/>
    </row>
    <row r="24" spans="2:7" ht="15.75" thickBot="1">
      <c r="B24" s="328"/>
      <c r="C24" s="38" t="s">
        <v>287</v>
      </c>
      <c r="D24" s="5"/>
      <c r="E24" s="5"/>
      <c r="F24" s="5"/>
      <c r="G24" s="5"/>
    </row>
    <row r="25" spans="2:7" ht="39" thickBot="1">
      <c r="B25" s="327">
        <v>1.4</v>
      </c>
      <c r="C25" s="38" t="s">
        <v>290</v>
      </c>
      <c r="D25" s="5"/>
      <c r="E25" s="5"/>
      <c r="F25" s="5"/>
      <c r="G25" s="5"/>
    </row>
    <row r="26" spans="2:7" ht="15.75" thickBot="1">
      <c r="B26" s="338"/>
      <c r="C26" s="38" t="s">
        <v>285</v>
      </c>
      <c r="D26" s="5"/>
      <c r="E26" s="5"/>
      <c r="F26" s="5"/>
      <c r="G26" s="5"/>
    </row>
    <row r="27" spans="2:7" ht="15.75" thickBot="1">
      <c r="B27" s="338"/>
      <c r="C27" s="38" t="s">
        <v>286</v>
      </c>
      <c r="D27" s="5"/>
      <c r="E27" s="5"/>
      <c r="F27" s="5"/>
      <c r="G27" s="5"/>
    </row>
    <row r="28" spans="2:7" ht="15.75" thickBot="1">
      <c r="B28" s="328"/>
      <c r="C28" s="38" t="s">
        <v>287</v>
      </c>
      <c r="D28" s="5"/>
      <c r="E28" s="5"/>
      <c r="F28" s="5"/>
      <c r="G28" s="5"/>
    </row>
    <row r="29" spans="2:7" ht="15.75" thickBot="1">
      <c r="B29" s="29">
        <v>2</v>
      </c>
      <c r="C29" s="384" t="s">
        <v>291</v>
      </c>
      <c r="D29" s="385"/>
      <c r="E29" s="385"/>
      <c r="F29" s="385"/>
      <c r="G29" s="386"/>
    </row>
    <row r="30" spans="2:7" ht="15.75" thickBot="1">
      <c r="B30" s="327">
        <v>2.1</v>
      </c>
      <c r="C30" s="38" t="s">
        <v>292</v>
      </c>
      <c r="D30" s="5"/>
      <c r="E30" s="5"/>
      <c r="F30" s="5"/>
      <c r="G30" s="5"/>
    </row>
    <row r="31" spans="2:7" ht="15.75" thickBot="1">
      <c r="B31" s="338"/>
      <c r="C31" s="38" t="s">
        <v>285</v>
      </c>
      <c r="D31" s="5"/>
      <c r="E31" s="5"/>
      <c r="F31" s="5"/>
      <c r="G31" s="5"/>
    </row>
    <row r="32" spans="2:7" ht="15.75" thickBot="1">
      <c r="B32" s="338"/>
      <c r="C32" s="38" t="s">
        <v>286</v>
      </c>
      <c r="D32" s="5"/>
      <c r="E32" s="5"/>
      <c r="F32" s="5"/>
      <c r="G32" s="5"/>
    </row>
    <row r="33" spans="2:7" ht="15.75" thickBot="1">
      <c r="B33" s="328"/>
      <c r="C33" s="38" t="s">
        <v>287</v>
      </c>
      <c r="D33" s="5"/>
      <c r="E33" s="5"/>
      <c r="F33" s="5"/>
      <c r="G33" s="5"/>
    </row>
    <row r="34" spans="2:7" ht="26.25" thickBot="1">
      <c r="B34" s="327">
        <v>2.2000000000000002</v>
      </c>
      <c r="C34" s="38" t="s">
        <v>293</v>
      </c>
      <c r="D34" s="379"/>
      <c r="E34" s="380"/>
      <c r="F34" s="380"/>
      <c r="G34" s="381"/>
    </row>
    <row r="35" spans="2:7" ht="15.75" thickBot="1">
      <c r="B35" s="338"/>
      <c r="C35" s="38" t="s">
        <v>285</v>
      </c>
      <c r="D35" s="5"/>
      <c r="E35" s="5"/>
      <c r="F35" s="5"/>
      <c r="G35" s="5"/>
    </row>
    <row r="36" spans="2:7" ht="15.75" thickBot="1">
      <c r="B36" s="338"/>
      <c r="C36" s="38" t="s">
        <v>286</v>
      </c>
      <c r="D36" s="5"/>
      <c r="E36" s="5"/>
      <c r="F36" s="5"/>
      <c r="G36" s="5"/>
    </row>
    <row r="37" spans="2:7" ht="15.75" thickBot="1">
      <c r="B37" s="328"/>
      <c r="C37" s="38" t="s">
        <v>287</v>
      </c>
      <c r="D37" s="5"/>
      <c r="E37" s="5"/>
      <c r="F37" s="5"/>
      <c r="G37" s="5"/>
    </row>
    <row r="38" spans="2:7" ht="15.75" thickBot="1">
      <c r="B38" s="327">
        <v>2.2999999999999998</v>
      </c>
      <c r="C38" s="38" t="s">
        <v>294</v>
      </c>
      <c r="D38" s="5"/>
      <c r="E38" s="5"/>
      <c r="F38" s="5"/>
      <c r="G38" s="5"/>
    </row>
    <row r="39" spans="2:7" ht="15.75" thickBot="1">
      <c r="B39" s="338"/>
      <c r="C39" s="38" t="s">
        <v>285</v>
      </c>
      <c r="D39" s="5"/>
      <c r="E39" s="5"/>
      <c r="F39" s="5"/>
      <c r="G39" s="5"/>
    </row>
    <row r="40" spans="2:7" ht="15.75" thickBot="1">
      <c r="B40" s="328"/>
      <c r="C40" s="38" t="s">
        <v>287</v>
      </c>
      <c r="D40" s="5"/>
      <c r="E40" s="5"/>
      <c r="F40" s="5"/>
      <c r="G40" s="5"/>
    </row>
    <row r="41" spans="2:7" ht="26.25" thickBot="1">
      <c r="B41" s="327">
        <v>2.4</v>
      </c>
      <c r="C41" s="38" t="s">
        <v>295</v>
      </c>
      <c r="D41" s="5"/>
      <c r="E41" s="5"/>
      <c r="F41" s="5"/>
      <c r="G41" s="5"/>
    </row>
    <row r="42" spans="2:7" ht="15.75" thickBot="1">
      <c r="B42" s="338"/>
      <c r="C42" s="38" t="s">
        <v>285</v>
      </c>
      <c r="D42" s="5"/>
      <c r="E42" s="5"/>
      <c r="F42" s="5"/>
      <c r="G42" s="5"/>
    </row>
    <row r="43" spans="2:7" ht="15.75" thickBot="1">
      <c r="B43" s="328"/>
      <c r="C43" s="38" t="s">
        <v>287</v>
      </c>
      <c r="D43" s="5"/>
      <c r="E43" s="5"/>
      <c r="F43" s="5"/>
      <c r="G43" s="5"/>
    </row>
    <row r="44" spans="2:7" ht="39" thickBot="1">
      <c r="B44" s="327">
        <v>2.5</v>
      </c>
      <c r="C44" s="38" t="s">
        <v>296</v>
      </c>
      <c r="D44" s="5"/>
      <c r="E44" s="5"/>
      <c r="F44" s="5"/>
      <c r="G44" s="5"/>
    </row>
    <row r="45" spans="2:7" ht="15.75" thickBot="1">
      <c r="B45" s="338"/>
      <c r="C45" s="38" t="s">
        <v>285</v>
      </c>
      <c r="D45" s="5"/>
      <c r="E45" s="5"/>
      <c r="F45" s="5"/>
      <c r="G45" s="5"/>
    </row>
    <row r="46" spans="2:7" ht="15.75" thickBot="1">
      <c r="B46" s="338"/>
      <c r="C46" s="38" t="s">
        <v>286</v>
      </c>
      <c r="D46" s="5"/>
      <c r="E46" s="5"/>
      <c r="F46" s="5"/>
      <c r="G46" s="5"/>
    </row>
    <row r="47" spans="2:7" ht="15.75" thickBot="1">
      <c r="B47" s="328"/>
      <c r="C47" s="38" t="s">
        <v>287</v>
      </c>
      <c r="D47" s="5"/>
      <c r="E47" s="5"/>
      <c r="F47" s="5"/>
      <c r="G47" s="5"/>
    </row>
    <row r="48" spans="2:7" ht="26.25" thickBot="1">
      <c r="B48" s="327">
        <v>2.6</v>
      </c>
      <c r="C48" s="38" t="s">
        <v>297</v>
      </c>
      <c r="D48" s="5"/>
      <c r="E48" s="5"/>
      <c r="F48" s="5"/>
      <c r="G48" s="5"/>
    </row>
    <row r="49" spans="2:7" ht="15.75" thickBot="1">
      <c r="B49" s="338"/>
      <c r="C49" s="38" t="s">
        <v>285</v>
      </c>
      <c r="D49" s="5"/>
      <c r="E49" s="5"/>
      <c r="F49" s="5"/>
      <c r="G49" s="5"/>
    </row>
    <row r="50" spans="2:7" ht="15.75" thickBot="1">
      <c r="B50" s="328"/>
      <c r="C50" s="38" t="s">
        <v>287</v>
      </c>
      <c r="D50" s="5"/>
      <c r="E50" s="5"/>
      <c r="F50" s="5"/>
      <c r="G50" s="5"/>
    </row>
    <row r="51" spans="2:7" ht="15.75" thickBot="1">
      <c r="B51" s="29">
        <v>3</v>
      </c>
      <c r="C51" s="384" t="s">
        <v>298</v>
      </c>
      <c r="D51" s="385"/>
      <c r="E51" s="385"/>
      <c r="F51" s="385"/>
      <c r="G51" s="386"/>
    </row>
    <row r="52" spans="2:7" ht="15.75" thickBot="1">
      <c r="B52" s="29">
        <v>3.1</v>
      </c>
      <c r="C52" s="38" t="s">
        <v>299</v>
      </c>
      <c r="D52" s="5"/>
      <c r="E52" s="5"/>
      <c r="F52" s="5"/>
      <c r="G52" s="5"/>
    </row>
    <row r="53" spans="2:7" ht="15.75" thickBot="1">
      <c r="B53" s="327">
        <v>3.2</v>
      </c>
      <c r="C53" s="38" t="s">
        <v>300</v>
      </c>
      <c r="D53" s="379"/>
      <c r="E53" s="380"/>
      <c r="F53" s="380"/>
      <c r="G53" s="381"/>
    </row>
    <row r="54" spans="2:7" ht="15.75" thickBot="1">
      <c r="B54" s="338"/>
      <c r="C54" s="38" t="s">
        <v>301</v>
      </c>
      <c r="D54" s="5"/>
      <c r="E54" s="5"/>
      <c r="F54" s="5"/>
      <c r="G54" s="5"/>
    </row>
    <row r="55" spans="2:7" ht="15.75" thickBot="1">
      <c r="B55" s="328"/>
      <c r="C55" s="38" t="s">
        <v>302</v>
      </c>
      <c r="D55" s="5"/>
      <c r="E55" s="5"/>
      <c r="F55" s="5"/>
      <c r="G55" s="5"/>
    </row>
  </sheetData>
  <mergeCells count="24">
    <mergeCell ref="B44:B47"/>
    <mergeCell ref="B48:B50"/>
    <mergeCell ref="C51:G51"/>
    <mergeCell ref="B53:B55"/>
    <mergeCell ref="D53:G53"/>
    <mergeCell ref="B41:B43"/>
    <mergeCell ref="B21:B24"/>
    <mergeCell ref="D21:D22"/>
    <mergeCell ref="E21:E22"/>
    <mergeCell ref="F21:F22"/>
    <mergeCell ref="C29:G29"/>
    <mergeCell ref="B30:B33"/>
    <mergeCell ref="B34:B37"/>
    <mergeCell ref="D34:G34"/>
    <mergeCell ref="B38:B40"/>
    <mergeCell ref="G21:G22"/>
    <mergeCell ref="B25:B28"/>
    <mergeCell ref="B17:B20"/>
    <mergeCell ref="D17:G17"/>
    <mergeCell ref="B10:B11"/>
    <mergeCell ref="C10:C11"/>
    <mergeCell ref="C12:G12"/>
    <mergeCell ref="B13:B16"/>
    <mergeCell ref="D13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zoomScale="85" zoomScaleNormal="85" workbookViewId="0">
      <selection activeCell="O10" sqref="O10"/>
    </sheetView>
  </sheetViews>
  <sheetFormatPr defaultRowHeight="15"/>
  <cols>
    <col min="1" max="1" width="18.28515625" customWidth="1"/>
    <col min="3" max="3" width="14.42578125" customWidth="1"/>
    <col min="5" max="5" width="12.28515625" customWidth="1"/>
    <col min="6" max="6" width="9.5703125" customWidth="1"/>
    <col min="7" max="7" width="8.5703125" customWidth="1"/>
    <col min="9" max="9" width="14.140625" customWidth="1"/>
    <col min="11" max="11" width="12.7109375" customWidth="1"/>
    <col min="13" max="13" width="7.85546875" customWidth="1"/>
    <col min="15" max="15" width="15.28515625" customWidth="1"/>
    <col min="16" max="16" width="11.7109375" customWidth="1"/>
    <col min="18" max="18" width="8.85546875" customWidth="1"/>
    <col min="22" max="22" width="8.42578125" customWidth="1"/>
    <col min="23" max="23" width="11.7109375" bestFit="1" customWidth="1"/>
  </cols>
  <sheetData>
    <row r="1" spans="1:23" ht="16.5">
      <c r="V1" s="7" t="s">
        <v>22</v>
      </c>
    </row>
    <row r="2" spans="1:23" ht="16.5">
      <c r="A2" s="21"/>
    </row>
    <row r="3" spans="1:23" ht="16.5">
      <c r="I3" s="7" t="s">
        <v>23</v>
      </c>
    </row>
    <row r="4" spans="1:23" ht="17.25" thickBot="1">
      <c r="A4" s="1"/>
    </row>
    <row r="5" spans="1:23" ht="19.5" customHeight="1" thickBot="1">
      <c r="A5" s="317" t="s">
        <v>24</v>
      </c>
      <c r="B5" s="319" t="s">
        <v>3</v>
      </c>
      <c r="C5" s="320"/>
      <c r="D5" s="320"/>
      <c r="E5" s="320"/>
      <c r="F5" s="320"/>
      <c r="G5" s="321"/>
      <c r="H5" s="319" t="s">
        <v>4</v>
      </c>
      <c r="I5" s="320"/>
      <c r="J5" s="320"/>
      <c r="K5" s="320"/>
      <c r="L5" s="320"/>
      <c r="M5" s="321"/>
      <c r="N5" s="319" t="s">
        <v>5</v>
      </c>
      <c r="O5" s="320"/>
      <c r="P5" s="320"/>
      <c r="Q5" s="320"/>
      <c r="R5" s="321"/>
      <c r="S5" s="319" t="s">
        <v>6</v>
      </c>
      <c r="T5" s="320"/>
      <c r="U5" s="320"/>
      <c r="V5" s="320"/>
      <c r="W5" s="321"/>
    </row>
    <row r="6" spans="1:23" ht="15.75" customHeight="1" thickBot="1">
      <c r="A6" s="326"/>
      <c r="B6" s="319" t="s">
        <v>25</v>
      </c>
      <c r="C6" s="320"/>
      <c r="D6" s="321"/>
      <c r="E6" s="317" t="s">
        <v>26</v>
      </c>
      <c r="F6" s="317" t="s">
        <v>27</v>
      </c>
      <c r="G6" s="317" t="s">
        <v>28</v>
      </c>
      <c r="H6" s="319" t="s">
        <v>29</v>
      </c>
      <c r="I6" s="320"/>
      <c r="J6" s="321"/>
      <c r="K6" s="317" t="s">
        <v>26</v>
      </c>
      <c r="L6" s="317" t="s">
        <v>27</v>
      </c>
      <c r="M6" s="317" t="s">
        <v>30</v>
      </c>
      <c r="N6" s="319" t="s">
        <v>25</v>
      </c>
      <c r="O6" s="320"/>
      <c r="P6" s="320"/>
      <c r="Q6" s="322" t="s">
        <v>27</v>
      </c>
      <c r="R6" s="317" t="s">
        <v>36</v>
      </c>
      <c r="S6" s="322" t="s">
        <v>25</v>
      </c>
      <c r="T6" s="323"/>
      <c r="U6" s="322" t="s">
        <v>27</v>
      </c>
      <c r="V6" s="317" t="s">
        <v>31</v>
      </c>
      <c r="W6" s="317" t="s">
        <v>32</v>
      </c>
    </row>
    <row r="7" spans="1:23" ht="64.5" thickBot="1">
      <c r="A7" s="318"/>
      <c r="B7" s="68" t="s">
        <v>12</v>
      </c>
      <c r="C7" s="59" t="s">
        <v>389</v>
      </c>
      <c r="D7" s="68" t="s">
        <v>11</v>
      </c>
      <c r="E7" s="318"/>
      <c r="F7" s="318"/>
      <c r="G7" s="318"/>
      <c r="H7" s="68" t="s">
        <v>12</v>
      </c>
      <c r="I7" s="59" t="s">
        <v>389</v>
      </c>
      <c r="J7" s="68" t="s">
        <v>11</v>
      </c>
      <c r="K7" s="318"/>
      <c r="L7" s="318"/>
      <c r="M7" s="318"/>
      <c r="N7" s="68" t="s">
        <v>12</v>
      </c>
      <c r="O7" s="59" t="s">
        <v>389</v>
      </c>
      <c r="P7" s="95" t="s">
        <v>11</v>
      </c>
      <c r="Q7" s="324"/>
      <c r="R7" s="318"/>
      <c r="S7" s="96" t="s">
        <v>13</v>
      </c>
      <c r="T7" s="96" t="s">
        <v>21</v>
      </c>
      <c r="U7" s="325"/>
      <c r="V7" s="326"/>
      <c r="W7" s="326"/>
    </row>
    <row r="8" spans="1:23" ht="15.75" thickBot="1">
      <c r="A8" s="17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97">
        <v>16</v>
      </c>
      <c r="Q8" s="97">
        <v>17</v>
      </c>
      <c r="R8" s="97">
        <v>18</v>
      </c>
      <c r="S8" s="24">
        <v>19</v>
      </c>
      <c r="T8" s="24">
        <v>20</v>
      </c>
      <c r="U8" s="24">
        <v>21</v>
      </c>
      <c r="V8" s="68">
        <v>22</v>
      </c>
      <c r="W8" s="16">
        <v>23</v>
      </c>
    </row>
    <row r="9" spans="1:23" ht="15.75" customHeight="1" thickBot="1">
      <c r="A9" s="319" t="s">
        <v>33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1"/>
    </row>
    <row r="10" spans="1:23" s="60" customFormat="1" ht="15.75" thickBot="1">
      <c r="A10" s="67" t="s">
        <v>385</v>
      </c>
      <c r="B10" s="69">
        <v>26.795999999999999</v>
      </c>
      <c r="C10" s="64" t="s">
        <v>386</v>
      </c>
      <c r="D10" s="69">
        <v>26.922000000000001</v>
      </c>
      <c r="E10" s="69">
        <v>17.966000000000001</v>
      </c>
      <c r="F10" s="69">
        <v>221.15899999999999</v>
      </c>
      <c r="G10" s="109">
        <f>B10/F10*100</f>
        <v>12.116169814477368</v>
      </c>
      <c r="H10" s="69">
        <v>24.911999999999999</v>
      </c>
      <c r="I10" s="64" t="s">
        <v>387</v>
      </c>
      <c r="J10" s="69">
        <v>25.821999999999999</v>
      </c>
      <c r="K10" s="69">
        <v>14.378</v>
      </c>
      <c r="L10" s="72">
        <v>199.76</v>
      </c>
      <c r="M10" s="109">
        <f>H10/L10*100</f>
        <v>12.470965158189829</v>
      </c>
      <c r="N10" s="69">
        <v>24.911999999999999</v>
      </c>
      <c r="O10" s="64" t="s">
        <v>388</v>
      </c>
      <c r="P10" s="70">
        <v>24.911999999999999</v>
      </c>
      <c r="Q10" s="111">
        <v>220.7</v>
      </c>
      <c r="R10" s="110">
        <f>N10/Q10*100</f>
        <v>11.287720888083372</v>
      </c>
      <c r="S10" s="71">
        <v>25.02</v>
      </c>
      <c r="T10" s="70"/>
      <c r="U10" s="111">
        <v>210.1</v>
      </c>
      <c r="V10" s="109">
        <f>S10/U10*100</f>
        <v>11.90861494526416</v>
      </c>
      <c r="W10" s="72"/>
    </row>
    <row r="11" spans="1:23" ht="15.75" customHeight="1" thickBot="1">
      <c r="A11" s="319" t="s">
        <v>34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1"/>
    </row>
    <row r="12" spans="1:23" ht="15.75" thickBot="1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3"/>
      <c r="R12" s="23"/>
      <c r="S12" s="23"/>
      <c r="T12" s="23"/>
      <c r="U12" s="23"/>
      <c r="V12" s="23"/>
      <c r="W12" s="18"/>
    </row>
    <row r="13" spans="1:23" ht="15.75" customHeight="1" thickBot="1">
      <c r="A13" s="319" t="s">
        <v>35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1"/>
    </row>
    <row r="14" spans="1:23" ht="15.75" thickBot="1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2"/>
      <c r="Q14" s="22"/>
      <c r="R14" s="22"/>
      <c r="S14" s="22"/>
      <c r="T14" s="22"/>
      <c r="U14" s="26"/>
      <c r="V14" s="18"/>
      <c r="W14" s="18"/>
    </row>
    <row r="15" spans="1:2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6.5">
      <c r="A16" s="1"/>
    </row>
  </sheetData>
  <mergeCells count="23">
    <mergeCell ref="A13:W13"/>
    <mergeCell ref="A11:W11"/>
    <mergeCell ref="A9:W9"/>
    <mergeCell ref="U6:U7"/>
    <mergeCell ref="V6:V7"/>
    <mergeCell ref="W6:W7"/>
    <mergeCell ref="K6:K7"/>
    <mergeCell ref="L6:L7"/>
    <mergeCell ref="A5:A7"/>
    <mergeCell ref="B5:G5"/>
    <mergeCell ref="H5:M5"/>
    <mergeCell ref="N5:R5"/>
    <mergeCell ref="R6:R7"/>
    <mergeCell ref="S5:W5"/>
    <mergeCell ref="B6:D6"/>
    <mergeCell ref="E6:E7"/>
    <mergeCell ref="F6:F7"/>
    <mergeCell ref="G6:G7"/>
    <mergeCell ref="H6:J6"/>
    <mergeCell ref="S6:T6"/>
    <mergeCell ref="M6:M7"/>
    <mergeCell ref="N6:P6"/>
    <mergeCell ref="Q6:Q7"/>
  </mergeCells>
  <pageMargins left="0.7" right="0.7" top="0.75" bottom="0.75" header="0.3" footer="0.3"/>
  <pageSetup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="70" zoomScaleNormal="70" workbookViewId="0">
      <selection activeCell="O9" sqref="O9"/>
    </sheetView>
  </sheetViews>
  <sheetFormatPr defaultRowHeight="15"/>
  <cols>
    <col min="1" max="1" width="19.140625" customWidth="1"/>
    <col min="3" max="3" width="15.28515625" customWidth="1"/>
    <col min="5" max="5" width="12.85546875" customWidth="1"/>
    <col min="7" max="7" width="15.42578125" customWidth="1"/>
    <col min="9" max="9" width="13.28515625" customWidth="1"/>
    <col min="11" max="11" width="14.85546875" customWidth="1"/>
  </cols>
  <sheetData>
    <row r="1" spans="1:15" ht="16.5">
      <c r="N1" s="13" t="s">
        <v>37</v>
      </c>
    </row>
    <row r="2" spans="1:15" ht="16.5">
      <c r="A2" s="1"/>
    </row>
    <row r="3" spans="1:15" ht="16.5">
      <c r="F3" s="15" t="s">
        <v>38</v>
      </c>
    </row>
    <row r="4" spans="1:15" ht="17.25" thickBot="1">
      <c r="A4" s="1"/>
    </row>
    <row r="5" spans="1:15" ht="15.75" thickBot="1">
      <c r="A5" s="27" t="s">
        <v>39</v>
      </c>
      <c r="B5" s="301" t="s">
        <v>3</v>
      </c>
      <c r="C5" s="302"/>
      <c r="D5" s="302"/>
      <c r="E5" s="303"/>
      <c r="F5" s="301" t="s">
        <v>4</v>
      </c>
      <c r="G5" s="302"/>
      <c r="H5" s="302"/>
      <c r="I5" s="303"/>
      <c r="J5" s="301" t="s">
        <v>5</v>
      </c>
      <c r="K5" s="302"/>
      <c r="L5" s="303"/>
      <c r="M5" s="301" t="s">
        <v>6</v>
      </c>
      <c r="N5" s="302"/>
      <c r="O5" s="303"/>
    </row>
    <row r="6" spans="1:15" ht="51.75" thickBot="1">
      <c r="A6" s="28" t="s">
        <v>40</v>
      </c>
      <c r="B6" s="301" t="s">
        <v>42</v>
      </c>
      <c r="C6" s="302"/>
      <c r="D6" s="303"/>
      <c r="E6" s="327" t="s">
        <v>43</v>
      </c>
      <c r="F6" s="301" t="s">
        <v>44</v>
      </c>
      <c r="G6" s="302"/>
      <c r="H6" s="303"/>
      <c r="I6" s="327" t="s">
        <v>43</v>
      </c>
      <c r="J6" s="301" t="s">
        <v>44</v>
      </c>
      <c r="K6" s="302"/>
      <c r="L6" s="303"/>
      <c r="M6" s="301" t="s">
        <v>44</v>
      </c>
      <c r="N6" s="303"/>
      <c r="O6" s="327" t="s">
        <v>45</v>
      </c>
    </row>
    <row r="7" spans="1:15" ht="54.75" customHeight="1" thickBot="1">
      <c r="A7" s="29" t="s">
        <v>41</v>
      </c>
      <c r="B7" s="2" t="s">
        <v>12</v>
      </c>
      <c r="C7" s="59" t="s">
        <v>389</v>
      </c>
      <c r="D7" s="10" t="s">
        <v>11</v>
      </c>
      <c r="E7" s="328"/>
      <c r="F7" s="2" t="s">
        <v>12</v>
      </c>
      <c r="G7" s="59" t="s">
        <v>389</v>
      </c>
      <c r="H7" s="10" t="s">
        <v>11</v>
      </c>
      <c r="I7" s="328"/>
      <c r="J7" s="2" t="s">
        <v>12</v>
      </c>
      <c r="K7" s="59" t="s">
        <v>389</v>
      </c>
      <c r="L7" s="10" t="s">
        <v>11</v>
      </c>
      <c r="M7" s="2" t="s">
        <v>13</v>
      </c>
      <c r="N7" s="2" t="s">
        <v>21</v>
      </c>
      <c r="O7" s="328"/>
    </row>
    <row r="8" spans="1:15" ht="15.75" thickBot="1">
      <c r="A8" s="2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</row>
    <row r="9" spans="1:15" ht="15.75" thickBot="1">
      <c r="A9" s="98" t="s">
        <v>385</v>
      </c>
      <c r="B9" s="64">
        <v>4356</v>
      </c>
      <c r="C9" s="64" t="s">
        <v>386</v>
      </c>
      <c r="D9" s="64">
        <v>4356</v>
      </c>
      <c r="E9" s="64">
        <v>4006</v>
      </c>
      <c r="F9" s="64">
        <v>4356</v>
      </c>
      <c r="G9" s="64" t="s">
        <v>387</v>
      </c>
      <c r="H9" s="64">
        <v>4356</v>
      </c>
      <c r="I9" s="64">
        <v>4009</v>
      </c>
      <c r="J9" s="64">
        <v>4348</v>
      </c>
      <c r="K9" s="64" t="s">
        <v>388</v>
      </c>
      <c r="L9" s="64">
        <v>4348</v>
      </c>
      <c r="M9" s="64">
        <v>4482</v>
      </c>
      <c r="N9" s="64"/>
      <c r="O9" s="64"/>
    </row>
    <row r="10" spans="1:15" ht="15.75" thickBot="1">
      <c r="A10" s="6"/>
      <c r="B10" s="5"/>
      <c r="C10" s="5"/>
      <c r="D10" s="5"/>
      <c r="E10" s="64"/>
      <c r="F10" s="5"/>
      <c r="G10" s="5"/>
      <c r="H10" s="5"/>
      <c r="I10" s="5"/>
      <c r="J10" s="5"/>
      <c r="K10" s="5"/>
      <c r="L10" s="5"/>
      <c r="M10" s="5"/>
      <c r="N10" s="5"/>
      <c r="O10" s="5"/>
    </row>
  </sheetData>
  <mergeCells count="11">
    <mergeCell ref="O6:O7"/>
    <mergeCell ref="B5:E5"/>
    <mergeCell ref="F5:I5"/>
    <mergeCell ref="J5:L5"/>
    <mergeCell ref="M5:O5"/>
    <mergeCell ref="B6:D6"/>
    <mergeCell ref="E6:E7"/>
    <mergeCell ref="F6:H6"/>
    <mergeCell ref="I6:I7"/>
    <mergeCell ref="J6:L6"/>
    <mergeCell ref="M6:N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3"/>
  <sheetViews>
    <sheetView workbookViewId="0">
      <selection activeCell="K28" sqref="K28"/>
    </sheetView>
  </sheetViews>
  <sheetFormatPr defaultRowHeight="15"/>
  <cols>
    <col min="2" max="2" width="37.7109375" customWidth="1"/>
    <col min="3" max="3" width="18.7109375" customWidth="1"/>
    <col min="4" max="4" width="19" customWidth="1"/>
    <col min="5" max="5" width="22.5703125" customWidth="1"/>
  </cols>
  <sheetData>
    <row r="2" spans="2:5" ht="16.5">
      <c r="E2" s="13" t="s">
        <v>46</v>
      </c>
    </row>
    <row r="3" spans="2:5" ht="16.5">
      <c r="E3" s="13"/>
    </row>
    <row r="4" spans="2:5" ht="69" customHeight="1">
      <c r="B4" s="329" t="s">
        <v>47</v>
      </c>
      <c r="C4" s="329"/>
      <c r="D4" s="329"/>
      <c r="E4" s="329"/>
    </row>
    <row r="5" spans="2:5" ht="18" customHeight="1">
      <c r="B5" s="103"/>
      <c r="C5" s="103"/>
      <c r="D5" s="103"/>
      <c r="E5" s="103"/>
    </row>
    <row r="6" spans="2:5" ht="18" customHeight="1">
      <c r="B6" s="330" t="s">
        <v>391</v>
      </c>
      <c r="C6" s="330"/>
      <c r="D6" s="330"/>
      <c r="E6" s="103"/>
    </row>
    <row r="7" spans="2:5" ht="17.25" customHeight="1" thickBot="1">
      <c r="B7" s="124"/>
      <c r="C7" s="33"/>
      <c r="D7" s="33"/>
      <c r="E7" s="33"/>
    </row>
    <row r="8" spans="2:5" ht="64.5" thickBot="1">
      <c r="B8" s="27" t="s">
        <v>48</v>
      </c>
      <c r="C8" s="30" t="s">
        <v>56</v>
      </c>
      <c r="D8" s="30" t="s">
        <v>55</v>
      </c>
      <c r="E8" s="27" t="s">
        <v>50</v>
      </c>
    </row>
    <row r="9" spans="2:5" ht="15.75" thickBot="1">
      <c r="B9" s="9">
        <v>1</v>
      </c>
      <c r="C9" s="10">
        <v>2</v>
      </c>
      <c r="D9" s="10">
        <v>3</v>
      </c>
      <c r="E9" s="10">
        <v>4</v>
      </c>
    </row>
    <row r="10" spans="2:5" ht="26.25" thickBot="1">
      <c r="B10" s="32" t="s">
        <v>51</v>
      </c>
      <c r="C10" s="64">
        <v>1390.1</v>
      </c>
      <c r="D10" s="64">
        <v>1390.1</v>
      </c>
      <c r="E10" s="64">
        <v>0</v>
      </c>
    </row>
    <row r="11" spans="2:5" ht="26.25" thickBot="1">
      <c r="B11" s="32" t="s">
        <v>52</v>
      </c>
      <c r="C11" s="64">
        <v>4983.3900000000003</v>
      </c>
      <c r="D11" s="64">
        <v>4983.3900000000003</v>
      </c>
      <c r="E11" s="64">
        <v>0</v>
      </c>
    </row>
    <row r="12" spans="2:5" ht="26.25" thickBot="1">
      <c r="B12" s="32" t="s">
        <v>53</v>
      </c>
      <c r="C12" s="64" t="s">
        <v>393</v>
      </c>
      <c r="D12" s="64" t="s">
        <v>393</v>
      </c>
      <c r="E12" s="64">
        <v>0</v>
      </c>
    </row>
    <row r="13" spans="2:5" ht="26.25" thickBot="1">
      <c r="B13" s="32" t="s">
        <v>54</v>
      </c>
      <c r="C13" s="64" t="s">
        <v>16</v>
      </c>
      <c r="D13" s="64" t="s">
        <v>16</v>
      </c>
      <c r="E13" s="64" t="s">
        <v>16</v>
      </c>
    </row>
    <row r="16" spans="2:5" ht="16.5">
      <c r="B16" s="330" t="s">
        <v>390</v>
      </c>
      <c r="C16" s="330"/>
      <c r="D16" s="330"/>
      <c r="E16" s="103"/>
    </row>
    <row r="17" spans="2:5" ht="17.25" thickBot="1">
      <c r="B17" s="124"/>
      <c r="C17" s="33"/>
      <c r="D17" s="33"/>
      <c r="E17" s="33"/>
    </row>
    <row r="18" spans="2:5" ht="64.5" thickBot="1">
      <c r="B18" s="102" t="s">
        <v>48</v>
      </c>
      <c r="C18" s="104" t="s">
        <v>56</v>
      </c>
      <c r="D18" s="104" t="s">
        <v>55</v>
      </c>
      <c r="E18" s="102" t="s">
        <v>50</v>
      </c>
    </row>
    <row r="19" spans="2:5" ht="15.75" thickBot="1">
      <c r="B19" s="9">
        <v>1</v>
      </c>
      <c r="C19" s="101">
        <v>2</v>
      </c>
      <c r="D19" s="101">
        <v>3</v>
      </c>
      <c r="E19" s="101">
        <v>4</v>
      </c>
    </row>
    <row r="20" spans="2:5" ht="26.25" thickBot="1">
      <c r="B20" s="105" t="s">
        <v>51</v>
      </c>
      <c r="C20" s="64">
        <v>785.6</v>
      </c>
      <c r="D20" s="64">
        <v>785.6</v>
      </c>
      <c r="E20" s="64">
        <v>0</v>
      </c>
    </row>
    <row r="21" spans="2:5" ht="26.25" thickBot="1">
      <c r="B21" s="105" t="s">
        <v>52</v>
      </c>
      <c r="C21" s="64">
        <v>6179.13</v>
      </c>
      <c r="D21" s="64">
        <v>6179.13</v>
      </c>
      <c r="E21" s="64">
        <v>0</v>
      </c>
    </row>
    <row r="22" spans="2:5" ht="26.25" thickBot="1">
      <c r="B22" s="105" t="s">
        <v>53</v>
      </c>
      <c r="C22" s="64" t="s">
        <v>394</v>
      </c>
      <c r="D22" s="64" t="s">
        <v>394</v>
      </c>
      <c r="E22" s="64">
        <v>0</v>
      </c>
    </row>
    <row r="23" spans="2:5" ht="26.25" thickBot="1">
      <c r="B23" s="105" t="s">
        <v>54</v>
      </c>
      <c r="C23" s="64">
        <v>953.1</v>
      </c>
      <c r="D23" s="64">
        <v>954.1</v>
      </c>
      <c r="E23" s="64">
        <v>0</v>
      </c>
    </row>
    <row r="26" spans="2:5" ht="16.5" customHeight="1">
      <c r="B26" s="330" t="s">
        <v>392</v>
      </c>
      <c r="C26" s="330"/>
      <c r="D26" s="330"/>
      <c r="E26" s="103"/>
    </row>
    <row r="27" spans="2:5" ht="17.25" thickBot="1">
      <c r="B27" s="124"/>
      <c r="C27" s="33"/>
      <c r="D27" s="33"/>
      <c r="E27" s="33"/>
    </row>
    <row r="28" spans="2:5" ht="64.5" thickBot="1">
      <c r="B28" s="102" t="s">
        <v>48</v>
      </c>
      <c r="C28" s="104" t="s">
        <v>56</v>
      </c>
      <c r="D28" s="104" t="s">
        <v>55</v>
      </c>
      <c r="E28" s="102" t="s">
        <v>50</v>
      </c>
    </row>
    <row r="29" spans="2:5" ht="15.75" thickBot="1">
      <c r="B29" s="9">
        <v>1</v>
      </c>
      <c r="C29" s="101">
        <v>2</v>
      </c>
      <c r="D29" s="101">
        <v>3</v>
      </c>
      <c r="E29" s="101">
        <v>4</v>
      </c>
    </row>
    <row r="30" spans="2:5" ht="26.25" thickBot="1">
      <c r="B30" s="105" t="s">
        <v>51</v>
      </c>
      <c r="C30" s="64">
        <v>117.6</v>
      </c>
      <c r="D30" s="64">
        <v>117.6</v>
      </c>
      <c r="E30" s="64">
        <v>0</v>
      </c>
    </row>
    <row r="31" spans="2:5" ht="26.25" thickBot="1">
      <c r="B31" s="105" t="s">
        <v>52</v>
      </c>
      <c r="C31" s="64">
        <v>1831.22</v>
      </c>
      <c r="D31" s="64">
        <v>1831.22</v>
      </c>
      <c r="E31" s="64">
        <v>0</v>
      </c>
    </row>
    <row r="32" spans="2:5" ht="26.25" thickBot="1">
      <c r="B32" s="105" t="s">
        <v>53</v>
      </c>
      <c r="C32" s="64" t="s">
        <v>539</v>
      </c>
      <c r="D32" s="64" t="s">
        <v>539</v>
      </c>
      <c r="E32" s="64">
        <v>0</v>
      </c>
    </row>
    <row r="33" spans="2:8" ht="26.25" thickBot="1">
      <c r="B33" s="105" t="s">
        <v>54</v>
      </c>
      <c r="C33" s="64">
        <v>438.8</v>
      </c>
      <c r="D33" s="64">
        <v>439.8</v>
      </c>
      <c r="E33" s="64">
        <v>0</v>
      </c>
      <c r="H33" s="262">
        <f>C23+C33</f>
        <v>1391.9</v>
      </c>
    </row>
  </sheetData>
  <mergeCells count="4">
    <mergeCell ref="B4:E4"/>
    <mergeCell ref="B6:D6"/>
    <mergeCell ref="B16:D16"/>
    <mergeCell ref="B26:D26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26"/>
  <sheetViews>
    <sheetView zoomScale="70" zoomScaleNormal="70" workbookViewId="0">
      <selection activeCell="N29" sqref="N29"/>
    </sheetView>
  </sheetViews>
  <sheetFormatPr defaultRowHeight="15"/>
  <cols>
    <col min="1" max="1" width="3.5703125" customWidth="1"/>
    <col min="2" max="2" width="19.85546875" customWidth="1"/>
    <col min="3" max="3" width="19.42578125" customWidth="1"/>
    <col min="4" max="4" width="19" customWidth="1"/>
    <col min="5" max="5" width="19.7109375" customWidth="1"/>
    <col min="6" max="6" width="18.42578125" customWidth="1"/>
    <col min="7" max="7" width="19.140625" customWidth="1"/>
    <col min="8" max="8" width="19.7109375" customWidth="1"/>
    <col min="9" max="11" width="16.7109375" customWidth="1"/>
    <col min="12" max="12" width="15" customWidth="1"/>
    <col min="13" max="13" width="16" customWidth="1"/>
    <col min="14" max="15" width="14.28515625" customWidth="1"/>
    <col min="16" max="16" width="17.28515625" customWidth="1"/>
    <col min="17" max="18" width="15.85546875" customWidth="1"/>
    <col min="19" max="19" width="16.42578125" customWidth="1"/>
  </cols>
  <sheetData>
    <row r="2" spans="2:19" ht="16.5">
      <c r="N2" s="13" t="s">
        <v>57</v>
      </c>
      <c r="O2" s="13"/>
    </row>
    <row r="3" spans="2:19" ht="16.5">
      <c r="B3" s="1"/>
    </row>
    <row r="4" spans="2:19" ht="16.5">
      <c r="B4" s="7" t="s">
        <v>420</v>
      </c>
    </row>
    <row r="5" spans="2:19" ht="15.75" thickBot="1"/>
    <row r="6" spans="2:19" ht="90" thickBot="1">
      <c r="B6" s="81" t="s">
        <v>58</v>
      </c>
      <c r="C6" s="82" t="s">
        <v>364</v>
      </c>
      <c r="D6" s="82" t="s">
        <v>366</v>
      </c>
      <c r="E6" s="82" t="s">
        <v>365</v>
      </c>
      <c r="F6" s="82" t="s">
        <v>367</v>
      </c>
      <c r="G6" s="93" t="s">
        <v>383</v>
      </c>
      <c r="H6" s="93" t="s">
        <v>384</v>
      </c>
      <c r="I6" s="81" t="s">
        <v>363</v>
      </c>
      <c r="J6" s="93" t="s">
        <v>377</v>
      </c>
      <c r="K6" s="93" t="s">
        <v>378</v>
      </c>
      <c r="L6" s="81" t="s">
        <v>60</v>
      </c>
      <c r="M6" s="82" t="s">
        <v>63</v>
      </c>
      <c r="N6" s="82" t="s">
        <v>372</v>
      </c>
      <c r="O6" s="86" t="s">
        <v>373</v>
      </c>
      <c r="P6" s="82" t="s">
        <v>64</v>
      </c>
      <c r="Q6" s="91" t="s">
        <v>381</v>
      </c>
      <c r="R6" s="91" t="s">
        <v>382</v>
      </c>
      <c r="S6" s="81" t="s">
        <v>61</v>
      </c>
    </row>
    <row r="7" spans="2:19" ht="15.75" thickBot="1">
      <c r="B7" s="9">
        <v>1</v>
      </c>
      <c r="C7" s="80">
        <v>2</v>
      </c>
      <c r="D7" s="80">
        <v>3</v>
      </c>
      <c r="E7" s="80">
        <v>4</v>
      </c>
      <c r="F7" s="80">
        <v>5</v>
      </c>
      <c r="G7" s="80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  <c r="S7" s="92">
        <v>18</v>
      </c>
    </row>
    <row r="8" spans="2:19" ht="15.75" customHeight="1" thickBot="1">
      <c r="B8" s="125" t="s">
        <v>395</v>
      </c>
      <c r="C8" s="126">
        <v>0.53</v>
      </c>
      <c r="D8" s="131">
        <v>170</v>
      </c>
      <c r="E8" s="126">
        <v>0.53</v>
      </c>
      <c r="F8" s="131">
        <v>170</v>
      </c>
      <c r="G8" s="135" t="s">
        <v>414</v>
      </c>
      <c r="H8" s="135" t="s">
        <v>414</v>
      </c>
      <c r="I8" s="9" t="s">
        <v>415</v>
      </c>
      <c r="J8" s="104" t="s">
        <v>416</v>
      </c>
      <c r="K8" s="104" t="s">
        <v>416</v>
      </c>
      <c r="L8" s="136">
        <v>1986</v>
      </c>
      <c r="M8" s="104" t="s">
        <v>16</v>
      </c>
      <c r="N8" s="99">
        <v>8784</v>
      </c>
      <c r="O8" s="99">
        <v>8784</v>
      </c>
      <c r="P8" s="135" t="s">
        <v>417</v>
      </c>
      <c r="Q8" s="135">
        <v>1.1499999999999999</v>
      </c>
      <c r="R8" s="135">
        <v>1.1499999999999999</v>
      </c>
      <c r="S8" s="137">
        <f>28714.57+21934.03</f>
        <v>50648.6</v>
      </c>
    </row>
    <row r="9" spans="2:19" ht="15.75" customHeight="1" thickBot="1">
      <c r="B9" s="127" t="s">
        <v>396</v>
      </c>
      <c r="C9" s="128">
        <v>0.42599999999999999</v>
      </c>
      <c r="D9" s="132">
        <v>230</v>
      </c>
      <c r="E9" s="128">
        <v>0.42599999999999999</v>
      </c>
      <c r="F9" s="132">
        <v>230</v>
      </c>
      <c r="G9" s="129" t="s">
        <v>414</v>
      </c>
      <c r="H9" s="129" t="s">
        <v>414</v>
      </c>
      <c r="I9" s="9" t="s">
        <v>415</v>
      </c>
      <c r="J9" s="104" t="s">
        <v>416</v>
      </c>
      <c r="K9" s="104" t="s">
        <v>416</v>
      </c>
      <c r="L9" s="129">
        <v>2005</v>
      </c>
      <c r="M9" s="104" t="s">
        <v>16</v>
      </c>
      <c r="N9" s="99">
        <v>8784</v>
      </c>
      <c r="O9" s="99">
        <v>8784</v>
      </c>
      <c r="P9" s="135" t="s">
        <v>417</v>
      </c>
      <c r="Q9" s="129">
        <v>1.1499999999999999</v>
      </c>
      <c r="R9" s="129">
        <v>1.1499999999999999</v>
      </c>
      <c r="S9" s="138">
        <f>17253.73+11841.26</f>
        <v>29094.989999999998</v>
      </c>
    </row>
    <row r="10" spans="2:19" ht="15.75" customHeight="1" thickBot="1">
      <c r="B10" s="127" t="s">
        <v>397</v>
      </c>
      <c r="C10" s="128">
        <v>0.42599999999999999</v>
      </c>
      <c r="D10" s="132">
        <v>1340</v>
      </c>
      <c r="E10" s="128">
        <v>0.42599999999999999</v>
      </c>
      <c r="F10" s="132">
        <v>1340</v>
      </c>
      <c r="G10" s="129" t="s">
        <v>414</v>
      </c>
      <c r="H10" s="129" t="s">
        <v>414</v>
      </c>
      <c r="I10" s="9" t="s">
        <v>415</v>
      </c>
      <c r="J10" s="104" t="s">
        <v>416</v>
      </c>
      <c r="K10" s="104" t="s">
        <v>416</v>
      </c>
      <c r="L10" s="129">
        <v>2005</v>
      </c>
      <c r="M10" s="104" t="s">
        <v>16</v>
      </c>
      <c r="N10" s="99">
        <v>8784</v>
      </c>
      <c r="O10" s="99">
        <v>8784</v>
      </c>
      <c r="P10" s="135" t="s">
        <v>417</v>
      </c>
      <c r="Q10" s="129">
        <v>1.1499999999999999</v>
      </c>
      <c r="R10" s="129">
        <v>1.1499999999999999</v>
      </c>
      <c r="S10" s="138">
        <f>100512.73+68988.24</f>
        <v>169500.97</v>
      </c>
    </row>
    <row r="11" spans="2:19" ht="15.75" customHeight="1" thickBot="1">
      <c r="B11" s="127" t="s">
        <v>398</v>
      </c>
      <c r="C11" s="129">
        <v>0.159</v>
      </c>
      <c r="D11" s="132">
        <v>220</v>
      </c>
      <c r="E11" s="129">
        <v>0.159</v>
      </c>
      <c r="F11" s="132">
        <v>220</v>
      </c>
      <c r="G11" s="129" t="s">
        <v>414</v>
      </c>
      <c r="H11" s="129" t="s">
        <v>414</v>
      </c>
      <c r="I11" s="9" t="s">
        <v>415</v>
      </c>
      <c r="J11" s="104" t="s">
        <v>416</v>
      </c>
      <c r="K11" s="104" t="s">
        <v>416</v>
      </c>
      <c r="L11" s="129">
        <v>2005</v>
      </c>
      <c r="M11" s="104" t="s">
        <v>16</v>
      </c>
      <c r="N11" s="99">
        <v>8784</v>
      </c>
      <c r="O11" s="99">
        <v>8784</v>
      </c>
      <c r="P11" s="135" t="s">
        <v>417</v>
      </c>
      <c r="Q11" s="129">
        <v>1.1499999999999999</v>
      </c>
      <c r="R11" s="129">
        <v>1.1499999999999999</v>
      </c>
      <c r="S11" s="138">
        <f>8247.83+5439.89</f>
        <v>13687.720000000001</v>
      </c>
    </row>
    <row r="12" spans="2:19" ht="15.75" customHeight="1" thickBot="1">
      <c r="B12" s="127" t="s">
        <v>399</v>
      </c>
      <c r="C12" s="128">
        <v>0.42599999999999999</v>
      </c>
      <c r="D12" s="132">
        <v>740</v>
      </c>
      <c r="E12" s="128">
        <v>0.42599999999999999</v>
      </c>
      <c r="F12" s="132">
        <v>740</v>
      </c>
      <c r="G12" s="129" t="s">
        <v>414</v>
      </c>
      <c r="H12" s="129" t="s">
        <v>414</v>
      </c>
      <c r="I12" s="9" t="s">
        <v>415</v>
      </c>
      <c r="J12" s="104" t="s">
        <v>416</v>
      </c>
      <c r="K12" s="104" t="s">
        <v>416</v>
      </c>
      <c r="L12" s="128">
        <v>2005</v>
      </c>
      <c r="M12" s="104" t="s">
        <v>16</v>
      </c>
      <c r="N12" s="99">
        <v>8784</v>
      </c>
      <c r="O12" s="99">
        <v>8784</v>
      </c>
      <c r="P12" s="135" t="s">
        <v>417</v>
      </c>
      <c r="Q12" s="129">
        <v>1.1499999999999999</v>
      </c>
      <c r="R12" s="129">
        <v>1.1499999999999999</v>
      </c>
      <c r="S12" s="138">
        <f>55512+38097.98</f>
        <v>93609.98000000001</v>
      </c>
    </row>
    <row r="13" spans="2:19" ht="15.75" customHeight="1" thickBot="1">
      <c r="B13" s="127" t="s">
        <v>400</v>
      </c>
      <c r="C13" s="128">
        <v>8.8999999999999996E-2</v>
      </c>
      <c r="D13" s="133">
        <v>355</v>
      </c>
      <c r="E13" s="128">
        <v>8.8999999999999996E-2</v>
      </c>
      <c r="F13" s="133">
        <v>355</v>
      </c>
      <c r="G13" s="129" t="s">
        <v>414</v>
      </c>
      <c r="H13" s="129" t="s">
        <v>414</v>
      </c>
      <c r="I13" s="9" t="s">
        <v>415</v>
      </c>
      <c r="J13" s="104" t="s">
        <v>416</v>
      </c>
      <c r="K13" s="104" t="s">
        <v>416</v>
      </c>
      <c r="L13" s="128">
        <v>2003</v>
      </c>
      <c r="M13" s="104" t="s">
        <v>16</v>
      </c>
      <c r="N13" s="99">
        <v>8784</v>
      </c>
      <c r="O13" s="99">
        <v>8784</v>
      </c>
      <c r="P13" s="135" t="s">
        <v>417</v>
      </c>
      <c r="Q13" s="129">
        <v>1.1499999999999999</v>
      </c>
      <c r="R13" s="129">
        <v>1.1499999999999999</v>
      </c>
      <c r="S13" s="138">
        <f>12135.96+8294.47</f>
        <v>20430.43</v>
      </c>
    </row>
    <row r="14" spans="2:19" ht="15.75" customHeight="1" thickBot="1">
      <c r="B14" s="127" t="s">
        <v>401</v>
      </c>
      <c r="C14" s="128">
        <v>0.377</v>
      </c>
      <c r="D14" s="132">
        <v>622</v>
      </c>
      <c r="E14" s="128">
        <v>0.377</v>
      </c>
      <c r="F14" s="132">
        <v>622</v>
      </c>
      <c r="G14" s="129" t="s">
        <v>414</v>
      </c>
      <c r="H14" s="129" t="s">
        <v>414</v>
      </c>
      <c r="I14" s="9" t="s">
        <v>415</v>
      </c>
      <c r="J14" s="104" t="s">
        <v>416</v>
      </c>
      <c r="K14" s="104" t="s">
        <v>416</v>
      </c>
      <c r="L14" s="129">
        <v>2007</v>
      </c>
      <c r="M14" s="104" t="s">
        <v>16</v>
      </c>
      <c r="N14" s="99">
        <v>8784</v>
      </c>
      <c r="O14" s="99">
        <v>8784</v>
      </c>
      <c r="P14" s="135" t="s">
        <v>417</v>
      </c>
      <c r="Q14" s="129">
        <v>1.1499999999999999</v>
      </c>
      <c r="R14" s="129">
        <v>1.1499999999999999</v>
      </c>
      <c r="S14" s="138">
        <f>43105.92+29709.18</f>
        <v>72815.100000000006</v>
      </c>
    </row>
    <row r="15" spans="2:19" ht="15.75" customHeight="1" thickBot="1">
      <c r="B15" s="127" t="s">
        <v>402</v>
      </c>
      <c r="C15" s="128">
        <v>0.377</v>
      </c>
      <c r="D15" s="132">
        <v>90</v>
      </c>
      <c r="E15" s="128">
        <v>0.377</v>
      </c>
      <c r="F15" s="132">
        <v>90</v>
      </c>
      <c r="G15" s="129" t="s">
        <v>414</v>
      </c>
      <c r="H15" s="129" t="s">
        <v>414</v>
      </c>
      <c r="I15" s="9" t="s">
        <v>415</v>
      </c>
      <c r="J15" s="104" t="s">
        <v>416</v>
      </c>
      <c r="K15" s="104" t="s">
        <v>416</v>
      </c>
      <c r="L15" s="128">
        <v>2003</v>
      </c>
      <c r="M15" s="104" t="s">
        <v>16</v>
      </c>
      <c r="N15" s="99">
        <v>8784</v>
      </c>
      <c r="O15" s="99">
        <v>8784</v>
      </c>
      <c r="P15" s="135" t="s">
        <v>417</v>
      </c>
      <c r="Q15" s="129">
        <v>1.1499999999999999</v>
      </c>
      <c r="R15" s="129">
        <v>1.1499999999999999</v>
      </c>
      <c r="S15" s="138">
        <f>6828.55+4961.91</f>
        <v>11790.46</v>
      </c>
    </row>
    <row r="16" spans="2:19" ht="15.75" customHeight="1" thickBot="1">
      <c r="B16" s="127" t="s">
        <v>403</v>
      </c>
      <c r="C16" s="128">
        <v>0.114</v>
      </c>
      <c r="D16" s="134">
        <v>8</v>
      </c>
      <c r="E16" s="128">
        <v>0.114</v>
      </c>
      <c r="F16" s="134">
        <v>8</v>
      </c>
      <c r="G16" s="129" t="s">
        <v>414</v>
      </c>
      <c r="H16" s="129" t="s">
        <v>414</v>
      </c>
      <c r="I16" s="9" t="s">
        <v>415</v>
      </c>
      <c r="J16" s="104" t="s">
        <v>416</v>
      </c>
      <c r="K16" s="104" t="s">
        <v>416</v>
      </c>
      <c r="L16" s="128">
        <v>2003</v>
      </c>
      <c r="M16" s="104" t="s">
        <v>16</v>
      </c>
      <c r="N16" s="99">
        <v>8784</v>
      </c>
      <c r="O16" s="99">
        <v>8784</v>
      </c>
      <c r="P16" s="135" t="s">
        <v>417</v>
      </c>
      <c r="Q16" s="129">
        <v>1.1499999999999999</v>
      </c>
      <c r="R16" s="129">
        <v>1.1499999999999999</v>
      </c>
      <c r="S16" s="138">
        <f>293.41+199.82</f>
        <v>493.23</v>
      </c>
    </row>
    <row r="17" spans="2:19" ht="15.75" customHeight="1" thickBot="1">
      <c r="B17" s="127" t="s">
        <v>404</v>
      </c>
      <c r="C17" s="128">
        <v>0.53</v>
      </c>
      <c r="D17" s="132">
        <v>509</v>
      </c>
      <c r="E17" s="128">
        <v>0.53</v>
      </c>
      <c r="F17" s="132">
        <v>509</v>
      </c>
      <c r="G17" s="129" t="s">
        <v>414</v>
      </c>
      <c r="H17" s="129" t="s">
        <v>414</v>
      </c>
      <c r="I17" s="9" t="s">
        <v>415</v>
      </c>
      <c r="J17" s="104" t="s">
        <v>416</v>
      </c>
      <c r="K17" s="104" t="s">
        <v>416</v>
      </c>
      <c r="L17" s="128">
        <v>2008</v>
      </c>
      <c r="M17" s="104" t="s">
        <v>16</v>
      </c>
      <c r="N17" s="99">
        <v>8784</v>
      </c>
      <c r="O17" s="99">
        <v>8784</v>
      </c>
      <c r="P17" s="135" t="s">
        <v>417</v>
      </c>
      <c r="Q17" s="129">
        <v>1.1499999999999999</v>
      </c>
      <c r="R17" s="129">
        <v>1.1499999999999999</v>
      </c>
      <c r="S17" s="138">
        <f>44709.93+31107.77</f>
        <v>75817.7</v>
      </c>
    </row>
    <row r="18" spans="2:19" ht="15.75" customHeight="1" thickBot="1">
      <c r="B18" s="127" t="s">
        <v>405</v>
      </c>
      <c r="C18" s="128">
        <v>0.219</v>
      </c>
      <c r="D18" s="132">
        <v>1011</v>
      </c>
      <c r="E18" s="128">
        <v>0.219</v>
      </c>
      <c r="F18" s="132">
        <v>1011</v>
      </c>
      <c r="G18" s="129" t="s">
        <v>414</v>
      </c>
      <c r="H18" s="129" t="s">
        <v>414</v>
      </c>
      <c r="I18" s="9" t="s">
        <v>415</v>
      </c>
      <c r="J18" s="104" t="s">
        <v>416</v>
      </c>
      <c r="K18" s="104" t="s">
        <v>416</v>
      </c>
      <c r="L18" s="128">
        <v>2002</v>
      </c>
      <c r="M18" s="104" t="s">
        <v>16</v>
      </c>
      <c r="N18" s="99">
        <v>8784</v>
      </c>
      <c r="O18" s="99">
        <v>8784</v>
      </c>
      <c r="P18" s="135" t="s">
        <v>417</v>
      </c>
      <c r="Q18" s="129">
        <v>1.1499999999999999</v>
      </c>
      <c r="R18" s="129">
        <v>1.1499999999999999</v>
      </c>
      <c r="S18" s="138">
        <f>54310.97+38225.39</f>
        <v>92536.36</v>
      </c>
    </row>
    <row r="19" spans="2:19" ht="15.75" customHeight="1" thickBot="1">
      <c r="B19" s="130" t="s">
        <v>406</v>
      </c>
      <c r="C19" s="128">
        <v>0.159</v>
      </c>
      <c r="D19" s="132">
        <v>10</v>
      </c>
      <c r="E19" s="128">
        <v>0.159</v>
      </c>
      <c r="F19" s="132">
        <v>10</v>
      </c>
      <c r="G19" s="129" t="s">
        <v>414</v>
      </c>
      <c r="H19" s="129" t="s">
        <v>414</v>
      </c>
      <c r="I19" s="9" t="s">
        <v>415</v>
      </c>
      <c r="J19" s="104" t="s">
        <v>416</v>
      </c>
      <c r="K19" s="104" t="s">
        <v>416</v>
      </c>
      <c r="L19" s="128">
        <v>2007</v>
      </c>
      <c r="M19" s="104" t="s">
        <v>16</v>
      </c>
      <c r="N19" s="99">
        <v>8784</v>
      </c>
      <c r="O19" s="99">
        <v>8784</v>
      </c>
      <c r="P19" s="135" t="s">
        <v>417</v>
      </c>
      <c r="Q19" s="129">
        <v>1.1499999999999999</v>
      </c>
      <c r="R19" s="129">
        <v>1.1499999999999999</v>
      </c>
      <c r="S19" s="138">
        <f>374.9+247.27</f>
        <v>622.16999999999996</v>
      </c>
    </row>
    <row r="20" spans="2:19" ht="15.75" customHeight="1" thickBot="1">
      <c r="B20" s="127" t="s">
        <v>407</v>
      </c>
      <c r="C20" s="128">
        <v>0.42599999999999999</v>
      </c>
      <c r="D20" s="132">
        <v>380</v>
      </c>
      <c r="E20" s="128">
        <v>0.42599999999999999</v>
      </c>
      <c r="F20" s="132">
        <v>380</v>
      </c>
      <c r="G20" s="129" t="s">
        <v>414</v>
      </c>
      <c r="H20" s="129" t="s">
        <v>414</v>
      </c>
      <c r="I20" s="9" t="s">
        <v>415</v>
      </c>
      <c r="J20" s="104" t="s">
        <v>416</v>
      </c>
      <c r="K20" s="104" t="s">
        <v>416</v>
      </c>
      <c r="L20" s="128">
        <v>1986</v>
      </c>
      <c r="M20" s="104" t="s">
        <v>16</v>
      </c>
      <c r="N20" s="99">
        <v>8784</v>
      </c>
      <c r="O20" s="99">
        <v>8784</v>
      </c>
      <c r="P20" s="135" t="s">
        <v>417</v>
      </c>
      <c r="Q20" s="129">
        <v>1.1499999999999999</v>
      </c>
      <c r="R20" s="129">
        <v>1.1499999999999999</v>
      </c>
      <c r="S20" s="138">
        <f>56658.05+42746.89</f>
        <v>99404.94</v>
      </c>
    </row>
    <row r="21" spans="2:19" ht="15.75" customHeight="1" thickBot="1">
      <c r="B21" s="127" t="s">
        <v>408</v>
      </c>
      <c r="C21" s="128">
        <v>0.27300000000000002</v>
      </c>
      <c r="D21" s="132">
        <v>475</v>
      </c>
      <c r="E21" s="128">
        <v>0.27300000000000002</v>
      </c>
      <c r="F21" s="132">
        <v>475</v>
      </c>
      <c r="G21" s="129" t="s">
        <v>414</v>
      </c>
      <c r="H21" s="129" t="s">
        <v>414</v>
      </c>
      <c r="I21" s="9" t="s">
        <v>415</v>
      </c>
      <c r="J21" s="104" t="s">
        <v>416</v>
      </c>
      <c r="K21" s="104" t="s">
        <v>416</v>
      </c>
      <c r="L21" s="128">
        <v>1986</v>
      </c>
      <c r="M21" s="104" t="s">
        <v>16</v>
      </c>
      <c r="N21" s="99">
        <v>8784</v>
      </c>
      <c r="O21" s="99">
        <v>8784</v>
      </c>
      <c r="P21" s="135" t="s">
        <v>417</v>
      </c>
      <c r="Q21" s="129">
        <v>1.1499999999999999</v>
      </c>
      <c r="R21" s="129">
        <v>1.1499999999999999</v>
      </c>
      <c r="S21" s="138">
        <f>48344.26+35338.16</f>
        <v>83682.420000000013</v>
      </c>
    </row>
    <row r="22" spans="2:19" ht="15.75" customHeight="1" thickBot="1">
      <c r="B22" s="127" t="s">
        <v>409</v>
      </c>
      <c r="C22" s="128">
        <v>0.32500000000000001</v>
      </c>
      <c r="D22" s="132">
        <v>150</v>
      </c>
      <c r="E22" s="128">
        <v>0.32500000000000001</v>
      </c>
      <c r="F22" s="132">
        <v>150</v>
      </c>
      <c r="G22" s="129" t="s">
        <v>414</v>
      </c>
      <c r="H22" s="129" t="s">
        <v>414</v>
      </c>
      <c r="I22" s="9" t="s">
        <v>415</v>
      </c>
      <c r="J22" s="104" t="s">
        <v>416</v>
      </c>
      <c r="K22" s="104" t="s">
        <v>416</v>
      </c>
      <c r="L22" s="128">
        <v>2003</v>
      </c>
      <c r="M22" s="104" t="s">
        <v>16</v>
      </c>
      <c r="N22" s="99">
        <v>8784</v>
      </c>
      <c r="O22" s="99">
        <v>8784</v>
      </c>
      <c r="P22" s="135" t="s">
        <v>417</v>
      </c>
      <c r="Q22" s="129">
        <v>1.1499999999999999</v>
      </c>
      <c r="R22" s="129">
        <v>1.1499999999999999</v>
      </c>
      <c r="S22" s="138">
        <f>10332.96+7348.03</f>
        <v>17680.989999999998</v>
      </c>
    </row>
    <row r="23" spans="2:19" ht="15.75" customHeight="1" thickBot="1">
      <c r="B23" s="130" t="s">
        <v>410</v>
      </c>
      <c r="C23" s="128">
        <v>0.219</v>
      </c>
      <c r="D23" s="132">
        <v>20</v>
      </c>
      <c r="E23" s="128">
        <v>0.219</v>
      </c>
      <c r="F23" s="132">
        <v>20</v>
      </c>
      <c r="G23" s="129" t="s">
        <v>414</v>
      </c>
      <c r="H23" s="129" t="s">
        <v>414</v>
      </c>
      <c r="I23" s="9" t="s">
        <v>415</v>
      </c>
      <c r="J23" s="104" t="s">
        <v>416</v>
      </c>
      <c r="K23" s="104" t="s">
        <v>416</v>
      </c>
      <c r="L23" s="128">
        <v>2003</v>
      </c>
      <c r="M23" s="104" t="s">
        <v>16</v>
      </c>
      <c r="N23" s="99">
        <v>8784</v>
      </c>
      <c r="O23" s="99">
        <v>8784</v>
      </c>
      <c r="P23" s="135" t="s">
        <v>417</v>
      </c>
      <c r="Q23" s="129">
        <v>1.1499999999999999</v>
      </c>
      <c r="R23" s="129">
        <v>1.1499999999999999</v>
      </c>
      <c r="S23" s="138">
        <f>1074.4+756.19</f>
        <v>1830.5900000000001</v>
      </c>
    </row>
    <row r="24" spans="2:19" ht="15.75" customHeight="1" thickBot="1">
      <c r="B24" s="127" t="s">
        <v>411</v>
      </c>
      <c r="C24" s="128">
        <v>0.27300000000000002</v>
      </c>
      <c r="D24" s="132">
        <v>512</v>
      </c>
      <c r="E24" s="128">
        <v>0.27300000000000002</v>
      </c>
      <c r="F24" s="132">
        <v>512</v>
      </c>
      <c r="G24" s="129" t="s">
        <v>414</v>
      </c>
      <c r="H24" s="129" t="s">
        <v>414</v>
      </c>
      <c r="I24" s="9" t="s">
        <v>415</v>
      </c>
      <c r="J24" s="104" t="s">
        <v>416</v>
      </c>
      <c r="K24" s="104" t="s">
        <v>416</v>
      </c>
      <c r="L24" s="128">
        <v>2003</v>
      </c>
      <c r="M24" s="104" t="s">
        <v>16</v>
      </c>
      <c r="N24" s="99">
        <v>8784</v>
      </c>
      <c r="O24" s="99">
        <v>8784</v>
      </c>
      <c r="P24" s="135" t="s">
        <v>417</v>
      </c>
      <c r="Q24" s="129">
        <v>1.1499999999999999</v>
      </c>
      <c r="R24" s="129">
        <v>1.1499999999999999</v>
      </c>
      <c r="S24" s="138">
        <f>31670.72+22321.11</f>
        <v>53991.83</v>
      </c>
    </row>
    <row r="25" spans="2:19" ht="15.75" customHeight="1" thickBot="1">
      <c r="B25" s="127" t="s">
        <v>412</v>
      </c>
      <c r="C25" s="128">
        <v>0.219</v>
      </c>
      <c r="D25" s="132">
        <v>20</v>
      </c>
      <c r="E25" s="128">
        <v>0.219</v>
      </c>
      <c r="F25" s="132">
        <v>20</v>
      </c>
      <c r="G25" s="129" t="s">
        <v>414</v>
      </c>
      <c r="H25" s="129" t="s">
        <v>414</v>
      </c>
      <c r="I25" s="9" t="s">
        <v>415</v>
      </c>
      <c r="J25" s="104" t="s">
        <v>416</v>
      </c>
      <c r="K25" s="104" t="s">
        <v>416</v>
      </c>
      <c r="L25" s="128">
        <v>2003</v>
      </c>
      <c r="M25" s="104" t="s">
        <v>16</v>
      </c>
      <c r="N25" s="99">
        <v>8784</v>
      </c>
      <c r="O25" s="99">
        <v>8784</v>
      </c>
      <c r="P25" s="135" t="s">
        <v>417</v>
      </c>
      <c r="Q25" s="129">
        <v>1.1499999999999999</v>
      </c>
      <c r="R25" s="129">
        <v>1.1499999999999999</v>
      </c>
      <c r="S25" s="138">
        <f>1074.4+756.19</f>
        <v>1830.5900000000001</v>
      </c>
    </row>
    <row r="26" spans="2:19" ht="15.75" customHeight="1" thickBot="1">
      <c r="B26" s="127" t="s">
        <v>413</v>
      </c>
      <c r="C26" s="128">
        <v>0.219</v>
      </c>
      <c r="D26" s="132">
        <v>460</v>
      </c>
      <c r="E26" s="128">
        <v>0.219</v>
      </c>
      <c r="F26" s="132">
        <v>460</v>
      </c>
      <c r="G26" s="129" t="s">
        <v>414</v>
      </c>
      <c r="H26" s="129" t="s">
        <v>414</v>
      </c>
      <c r="I26" s="9" t="s">
        <v>415</v>
      </c>
      <c r="J26" s="9" t="s">
        <v>416</v>
      </c>
      <c r="K26" s="101" t="s">
        <v>416</v>
      </c>
      <c r="L26" s="128">
        <v>2003</v>
      </c>
      <c r="M26" s="9" t="s">
        <v>16</v>
      </c>
      <c r="N26" s="59">
        <v>8784</v>
      </c>
      <c r="O26" s="100">
        <v>8784</v>
      </c>
      <c r="P26" s="135" t="s">
        <v>417</v>
      </c>
      <c r="Q26" s="129">
        <v>1.1499999999999999</v>
      </c>
      <c r="R26" s="129">
        <v>1.1499999999999999</v>
      </c>
      <c r="S26" s="138">
        <f>24711.22+17392.36</f>
        <v>42103.58</v>
      </c>
    </row>
  </sheetData>
  <pageMargins left="0.7" right="0.7" top="0.75" bottom="0.75" header="0.3" footer="0.3"/>
  <pageSetup paperSize="9" orientation="portrait" r:id="rId1"/>
  <ignoredErrors>
    <ignoredError sqref="S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T36"/>
  <sheetViews>
    <sheetView topLeftCell="A16" zoomScale="70" zoomScaleNormal="70" workbookViewId="0">
      <selection activeCell="O40" sqref="O40"/>
    </sheetView>
  </sheetViews>
  <sheetFormatPr defaultRowHeight="15"/>
  <cols>
    <col min="1" max="1" width="3" customWidth="1"/>
    <col min="2" max="2" width="19.28515625" customWidth="1"/>
    <col min="3" max="3" width="18.7109375" customWidth="1"/>
    <col min="4" max="5" width="17.5703125" customWidth="1"/>
    <col min="6" max="6" width="16.28515625" customWidth="1"/>
    <col min="7" max="8" width="17.5703125" customWidth="1"/>
    <col min="9" max="9" width="14.5703125" customWidth="1"/>
    <col min="10" max="10" width="14.140625" customWidth="1"/>
    <col min="11" max="12" width="16.28515625" customWidth="1"/>
    <col min="13" max="13" width="16.42578125" customWidth="1"/>
    <col min="14" max="15" width="14.5703125" customWidth="1"/>
    <col min="16" max="16" width="15" customWidth="1"/>
    <col min="17" max="17" width="15.85546875" customWidth="1"/>
    <col min="18" max="19" width="14.7109375" customWidth="1"/>
    <col min="20" max="20" width="11.5703125" customWidth="1"/>
  </cols>
  <sheetData>
    <row r="2" spans="2:20" ht="16.5">
      <c r="T2" s="13" t="s">
        <v>66</v>
      </c>
    </row>
    <row r="3" spans="2:20" ht="16.5">
      <c r="B3" s="1"/>
    </row>
    <row r="4" spans="2:20" ht="16.5">
      <c r="C4" s="7" t="s">
        <v>418</v>
      </c>
    </row>
    <row r="5" spans="2:20" ht="15.75" thickBot="1"/>
    <row r="6" spans="2:20" ht="90" thickBot="1">
      <c r="B6" s="84" t="s">
        <v>58</v>
      </c>
      <c r="C6" s="85" t="s">
        <v>368</v>
      </c>
      <c r="D6" s="85" t="s">
        <v>369</v>
      </c>
      <c r="E6" s="85" t="s">
        <v>370</v>
      </c>
      <c r="F6" s="85" t="s">
        <v>371</v>
      </c>
      <c r="G6" s="84" t="s">
        <v>375</v>
      </c>
      <c r="H6" s="89" t="s">
        <v>376</v>
      </c>
      <c r="I6" s="84" t="s">
        <v>377</v>
      </c>
      <c r="J6" s="89" t="s">
        <v>378</v>
      </c>
      <c r="K6" s="84" t="s">
        <v>380</v>
      </c>
      <c r="L6" s="89" t="s">
        <v>379</v>
      </c>
      <c r="M6" s="85" t="s">
        <v>69</v>
      </c>
      <c r="N6" s="86" t="s">
        <v>372</v>
      </c>
      <c r="O6" s="86" t="s">
        <v>373</v>
      </c>
      <c r="P6" s="84" t="s">
        <v>363</v>
      </c>
      <c r="Q6" s="85" t="s">
        <v>64</v>
      </c>
      <c r="R6" s="85" t="s">
        <v>381</v>
      </c>
      <c r="S6" s="90" t="s">
        <v>382</v>
      </c>
      <c r="T6" s="84" t="s">
        <v>61</v>
      </c>
    </row>
    <row r="7" spans="2:20" ht="15.75" thickBot="1">
      <c r="B7" s="9">
        <v>1</v>
      </c>
      <c r="C7" s="83">
        <v>2</v>
      </c>
      <c r="D7" s="9">
        <v>3</v>
      </c>
      <c r="E7" s="83">
        <v>4</v>
      </c>
      <c r="F7" s="9">
        <v>5</v>
      </c>
      <c r="G7" s="83">
        <v>6</v>
      </c>
      <c r="H7" s="9">
        <v>7</v>
      </c>
      <c r="I7" s="88">
        <v>8</v>
      </c>
      <c r="J7" s="9">
        <v>9</v>
      </c>
      <c r="K7" s="88">
        <v>10</v>
      </c>
      <c r="L7" s="9">
        <v>11</v>
      </c>
      <c r="M7" s="88">
        <v>12</v>
      </c>
      <c r="N7" s="9">
        <v>13</v>
      </c>
      <c r="O7" s="88">
        <v>14</v>
      </c>
      <c r="P7" s="9">
        <v>15</v>
      </c>
      <c r="Q7" s="88">
        <v>16</v>
      </c>
      <c r="R7" s="9">
        <v>17</v>
      </c>
      <c r="S7" s="88">
        <v>18</v>
      </c>
      <c r="T7" s="9">
        <v>19</v>
      </c>
    </row>
    <row r="8" spans="2:20" ht="15.75" customHeight="1" thickBot="1">
      <c r="B8" s="3"/>
      <c r="C8" s="4"/>
      <c r="D8" s="302" t="s">
        <v>68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4"/>
      <c r="R8" s="4"/>
      <c r="S8" s="4"/>
      <c r="T8" s="5"/>
    </row>
    <row r="9" spans="2:20" ht="15.75" customHeight="1" thickBot="1">
      <c r="B9" s="139" t="s">
        <v>421</v>
      </c>
      <c r="C9" s="136">
        <v>5.7000000000000002E-2</v>
      </c>
      <c r="D9" s="140">
        <v>631</v>
      </c>
      <c r="E9" s="136">
        <v>5.7000000000000002E-2</v>
      </c>
      <c r="F9" s="140">
        <v>631</v>
      </c>
      <c r="G9" s="136" t="s">
        <v>433</v>
      </c>
      <c r="H9" s="136" t="s">
        <v>433</v>
      </c>
      <c r="I9" s="120" t="s">
        <v>416</v>
      </c>
      <c r="J9" s="120" t="s">
        <v>416</v>
      </c>
      <c r="K9" s="136">
        <v>2003</v>
      </c>
      <c r="L9" s="136">
        <v>2003</v>
      </c>
      <c r="M9" s="9" t="s">
        <v>16</v>
      </c>
      <c r="N9" s="59">
        <v>7488</v>
      </c>
      <c r="O9" s="59">
        <v>7488</v>
      </c>
      <c r="P9" s="59" t="s">
        <v>434</v>
      </c>
      <c r="Q9" s="135" t="s">
        <v>435</v>
      </c>
      <c r="R9" s="136">
        <v>1</v>
      </c>
      <c r="S9" s="136">
        <v>1</v>
      </c>
      <c r="T9" s="136">
        <f>13756.19+11317.42</f>
        <v>25073.61</v>
      </c>
    </row>
    <row r="10" spans="2:20" ht="15.75" customHeight="1" thickBot="1">
      <c r="B10" s="139" t="s">
        <v>422</v>
      </c>
      <c r="C10" s="128">
        <v>5.7000000000000002E-2</v>
      </c>
      <c r="D10" s="141">
        <v>292</v>
      </c>
      <c r="E10" s="128">
        <v>5.7000000000000002E-2</v>
      </c>
      <c r="F10" s="141">
        <v>292</v>
      </c>
      <c r="G10" s="136" t="s">
        <v>433</v>
      </c>
      <c r="H10" s="136" t="s">
        <v>433</v>
      </c>
      <c r="I10" s="120" t="s">
        <v>416</v>
      </c>
      <c r="J10" s="120" t="s">
        <v>416</v>
      </c>
      <c r="K10" s="136">
        <v>2014</v>
      </c>
      <c r="L10" s="136">
        <v>2014</v>
      </c>
      <c r="M10" s="9" t="s">
        <v>16</v>
      </c>
      <c r="N10" s="59">
        <v>7488</v>
      </c>
      <c r="O10" s="59">
        <v>7488</v>
      </c>
      <c r="P10" s="59" t="s">
        <v>434</v>
      </c>
      <c r="Q10" s="135" t="s">
        <v>435</v>
      </c>
      <c r="R10" s="136">
        <v>1</v>
      </c>
      <c r="S10" s="136">
        <v>1</v>
      </c>
      <c r="T10" s="136">
        <f>5329.29+4144.31</f>
        <v>9473.6</v>
      </c>
    </row>
    <row r="11" spans="2:20" ht="15.75" customHeight="1" thickBot="1">
      <c r="B11" s="139" t="s">
        <v>423</v>
      </c>
      <c r="C11" s="128">
        <v>7.5999999999999998E-2</v>
      </c>
      <c r="D11" s="141">
        <v>87</v>
      </c>
      <c r="E11" s="128">
        <v>7.5999999999999998E-2</v>
      </c>
      <c r="F11" s="141">
        <v>87</v>
      </c>
      <c r="G11" s="136" t="s">
        <v>433</v>
      </c>
      <c r="H11" s="136" t="s">
        <v>433</v>
      </c>
      <c r="I11" s="120" t="s">
        <v>416</v>
      </c>
      <c r="J11" s="120" t="s">
        <v>416</v>
      </c>
      <c r="K11" s="136">
        <v>2003</v>
      </c>
      <c r="L11" s="136">
        <v>2003</v>
      </c>
      <c r="M11" s="9" t="s">
        <v>16</v>
      </c>
      <c r="N11" s="59">
        <v>7488</v>
      </c>
      <c r="O11" s="59">
        <v>7488</v>
      </c>
      <c r="P11" s="59" t="s">
        <v>434</v>
      </c>
      <c r="Q11" s="135" t="s">
        <v>435</v>
      </c>
      <c r="R11" s="136">
        <v>1</v>
      </c>
      <c r="S11" s="136">
        <v>1</v>
      </c>
      <c r="T11" s="136">
        <f>2194.21+1757.09</f>
        <v>3951.3</v>
      </c>
    </row>
    <row r="12" spans="2:20" ht="15.75" customHeight="1" thickBot="1">
      <c r="B12" s="139" t="s">
        <v>424</v>
      </c>
      <c r="C12" s="128">
        <v>8.8999999999999996E-2</v>
      </c>
      <c r="D12" s="141">
        <v>3724</v>
      </c>
      <c r="E12" s="128">
        <v>8.8999999999999996E-2</v>
      </c>
      <c r="F12" s="141">
        <v>3724</v>
      </c>
      <c r="G12" s="136" t="s">
        <v>433</v>
      </c>
      <c r="H12" s="136" t="s">
        <v>433</v>
      </c>
      <c r="I12" s="120" t="s">
        <v>416</v>
      </c>
      <c r="J12" s="120" t="s">
        <v>416</v>
      </c>
      <c r="K12" s="136">
        <v>2003</v>
      </c>
      <c r="L12" s="136">
        <v>2003</v>
      </c>
      <c r="M12" s="9" t="s">
        <v>16</v>
      </c>
      <c r="N12" s="59">
        <v>7488</v>
      </c>
      <c r="O12" s="59">
        <v>7488</v>
      </c>
      <c r="P12" s="59" t="s">
        <v>434</v>
      </c>
      <c r="Q12" s="135" t="s">
        <v>435</v>
      </c>
      <c r="R12" s="136">
        <v>1</v>
      </c>
      <c r="S12" s="136">
        <v>1</v>
      </c>
      <c r="T12" s="136">
        <f>102859.86+84148.99</f>
        <v>187008.85</v>
      </c>
    </row>
    <row r="13" spans="2:20" ht="15.75" customHeight="1" thickBot="1">
      <c r="B13" s="139" t="s">
        <v>425</v>
      </c>
      <c r="C13" s="128">
        <v>8.8999999999999996E-2</v>
      </c>
      <c r="D13" s="141">
        <v>385</v>
      </c>
      <c r="E13" s="128">
        <v>8.8999999999999996E-2</v>
      </c>
      <c r="F13" s="141">
        <v>385</v>
      </c>
      <c r="G13" s="136" t="s">
        <v>433</v>
      </c>
      <c r="H13" s="136" t="s">
        <v>433</v>
      </c>
      <c r="I13" s="120" t="s">
        <v>416</v>
      </c>
      <c r="J13" s="120" t="s">
        <v>416</v>
      </c>
      <c r="K13" s="136">
        <v>2014</v>
      </c>
      <c r="L13" s="136">
        <v>2014</v>
      </c>
      <c r="M13" s="9" t="s">
        <v>16</v>
      </c>
      <c r="N13" s="59">
        <v>7488</v>
      </c>
      <c r="O13" s="59">
        <v>7488</v>
      </c>
      <c r="P13" s="59" t="s">
        <v>434</v>
      </c>
      <c r="Q13" s="135" t="s">
        <v>435</v>
      </c>
      <c r="R13" s="136">
        <v>1</v>
      </c>
      <c r="S13" s="136">
        <v>1</v>
      </c>
      <c r="T13" s="136">
        <f>8695.04+6835.05</f>
        <v>15530.09</v>
      </c>
    </row>
    <row r="14" spans="2:20" ht="15.75" customHeight="1" thickBot="1">
      <c r="B14" s="139" t="s">
        <v>426</v>
      </c>
      <c r="C14" s="128">
        <v>0.114</v>
      </c>
      <c r="D14" s="141">
        <v>4615</v>
      </c>
      <c r="E14" s="128">
        <v>0.114</v>
      </c>
      <c r="F14" s="141">
        <v>4615</v>
      </c>
      <c r="G14" s="136" t="s">
        <v>433</v>
      </c>
      <c r="H14" s="136" t="s">
        <v>433</v>
      </c>
      <c r="I14" s="120" t="s">
        <v>416</v>
      </c>
      <c r="J14" s="120" t="s">
        <v>416</v>
      </c>
      <c r="K14" s="136">
        <v>2003</v>
      </c>
      <c r="L14" s="136">
        <v>2003</v>
      </c>
      <c r="M14" s="9" t="s">
        <v>16</v>
      </c>
      <c r="N14" s="59">
        <v>7488</v>
      </c>
      <c r="O14" s="59">
        <v>7488</v>
      </c>
      <c r="P14" s="59" t="s">
        <v>434</v>
      </c>
      <c r="Q14" s="135" t="s">
        <v>435</v>
      </c>
      <c r="R14" s="136">
        <v>1</v>
      </c>
      <c r="S14" s="136">
        <v>1</v>
      </c>
      <c r="T14" s="136">
        <f>136423.38+111452.11</f>
        <v>247875.49</v>
      </c>
    </row>
    <row r="15" spans="2:20" ht="15.75" customHeight="1" thickBot="1">
      <c r="B15" s="139" t="s">
        <v>427</v>
      </c>
      <c r="C15" s="128">
        <v>0.114</v>
      </c>
      <c r="D15" s="141">
        <v>365</v>
      </c>
      <c r="E15" s="128">
        <v>0.114</v>
      </c>
      <c r="F15" s="141">
        <v>365</v>
      </c>
      <c r="G15" s="136" t="s">
        <v>433</v>
      </c>
      <c r="H15" s="136" t="s">
        <v>433</v>
      </c>
      <c r="I15" s="120" t="s">
        <v>416</v>
      </c>
      <c r="J15" s="120" t="s">
        <v>416</v>
      </c>
      <c r="K15" s="136">
        <v>2014</v>
      </c>
      <c r="L15" s="136">
        <v>2014</v>
      </c>
      <c r="M15" s="9" t="s">
        <v>16</v>
      </c>
      <c r="N15" s="59">
        <v>7488</v>
      </c>
      <c r="O15" s="59">
        <v>7488</v>
      </c>
      <c r="P15" s="59" t="s">
        <v>434</v>
      </c>
      <c r="Q15" s="135" t="s">
        <v>435</v>
      </c>
      <c r="R15" s="136">
        <v>1</v>
      </c>
      <c r="S15" s="136">
        <v>1</v>
      </c>
      <c r="T15" s="136">
        <f>8815.22+6910.78</f>
        <v>15726</v>
      </c>
    </row>
    <row r="16" spans="2:20" ht="15.75" customHeight="1" thickBot="1">
      <c r="B16" s="139" t="s">
        <v>428</v>
      </c>
      <c r="C16" s="128">
        <v>0.13300000000000001</v>
      </c>
      <c r="D16" s="128">
        <v>232</v>
      </c>
      <c r="E16" s="128">
        <v>0.13300000000000001</v>
      </c>
      <c r="F16" s="128">
        <v>232</v>
      </c>
      <c r="G16" s="136" t="s">
        <v>433</v>
      </c>
      <c r="H16" s="136" t="s">
        <v>433</v>
      </c>
      <c r="I16" s="120" t="s">
        <v>416</v>
      </c>
      <c r="J16" s="120" t="s">
        <v>416</v>
      </c>
      <c r="K16" s="136">
        <v>2003</v>
      </c>
      <c r="L16" s="136">
        <v>2003</v>
      </c>
      <c r="M16" s="9" t="s">
        <v>16</v>
      </c>
      <c r="N16" s="59">
        <v>7488</v>
      </c>
      <c r="O16" s="59">
        <v>7488</v>
      </c>
      <c r="P16" s="59" t="s">
        <v>434</v>
      </c>
      <c r="Q16" s="135" t="s">
        <v>435</v>
      </c>
      <c r="R16" s="136">
        <v>1</v>
      </c>
      <c r="S16" s="136">
        <v>1</v>
      </c>
      <c r="T16" s="136">
        <f>7865.01+6520.02</f>
        <v>14385.03</v>
      </c>
    </row>
    <row r="17" spans="2:20" ht="15.75" customHeight="1" thickBot="1">
      <c r="B17" s="139" t="s">
        <v>424</v>
      </c>
      <c r="C17" s="128">
        <v>0.159</v>
      </c>
      <c r="D17" s="141">
        <v>3674</v>
      </c>
      <c r="E17" s="128">
        <v>0.159</v>
      </c>
      <c r="F17" s="141">
        <v>3674</v>
      </c>
      <c r="G17" s="136" t="s">
        <v>433</v>
      </c>
      <c r="H17" s="136" t="s">
        <v>433</v>
      </c>
      <c r="I17" s="120" t="s">
        <v>416</v>
      </c>
      <c r="J17" s="120" t="s">
        <v>416</v>
      </c>
      <c r="K17" s="136">
        <v>2003</v>
      </c>
      <c r="L17" s="136">
        <v>2003</v>
      </c>
      <c r="M17" s="9" t="s">
        <v>16</v>
      </c>
      <c r="N17" s="59">
        <v>7488</v>
      </c>
      <c r="O17" s="59">
        <v>7488</v>
      </c>
      <c r="P17" s="59" t="s">
        <v>434</v>
      </c>
      <c r="Q17" s="135" t="s">
        <v>435</v>
      </c>
      <c r="R17" s="136">
        <v>1</v>
      </c>
      <c r="S17" s="136">
        <v>1</v>
      </c>
      <c r="T17" s="136">
        <f>133023.92+109890.19</f>
        <v>242914.11000000002</v>
      </c>
    </row>
    <row r="18" spans="2:20" ht="15.75" customHeight="1" thickBot="1">
      <c r="B18" s="139" t="s">
        <v>429</v>
      </c>
      <c r="C18" s="128">
        <v>0.159</v>
      </c>
      <c r="D18" s="141">
        <v>122</v>
      </c>
      <c r="E18" s="128">
        <v>0.159</v>
      </c>
      <c r="F18" s="141">
        <v>122</v>
      </c>
      <c r="G18" s="136" t="s">
        <v>433</v>
      </c>
      <c r="H18" s="136" t="s">
        <v>433</v>
      </c>
      <c r="I18" s="120" t="s">
        <v>416</v>
      </c>
      <c r="J18" s="120" t="s">
        <v>416</v>
      </c>
      <c r="K18" s="136">
        <v>2014</v>
      </c>
      <c r="L18" s="136">
        <v>2014</v>
      </c>
      <c r="M18" s="9" t="s">
        <v>16</v>
      </c>
      <c r="N18" s="59">
        <v>7488</v>
      </c>
      <c r="O18" s="59">
        <v>7488</v>
      </c>
      <c r="P18" s="59" t="s">
        <v>434</v>
      </c>
      <c r="Q18" s="135" t="s">
        <v>435</v>
      </c>
      <c r="R18" s="136">
        <v>1</v>
      </c>
      <c r="S18" s="136">
        <v>1</v>
      </c>
      <c r="T18" s="136">
        <f>3492.09+2769.09</f>
        <v>6261.18</v>
      </c>
    </row>
    <row r="19" spans="2:20" ht="15.75" customHeight="1" thickBot="1">
      <c r="B19" s="139" t="s">
        <v>430</v>
      </c>
      <c r="C19" s="128">
        <v>0.219</v>
      </c>
      <c r="D19" s="141">
        <v>4104</v>
      </c>
      <c r="E19" s="128">
        <v>0.219</v>
      </c>
      <c r="F19" s="141">
        <v>4104</v>
      </c>
      <c r="G19" s="136" t="s">
        <v>433</v>
      </c>
      <c r="H19" s="136" t="s">
        <v>433</v>
      </c>
      <c r="I19" s="120" t="s">
        <v>416</v>
      </c>
      <c r="J19" s="120" t="s">
        <v>416</v>
      </c>
      <c r="K19" s="136">
        <v>2003</v>
      </c>
      <c r="L19" s="136">
        <v>2003</v>
      </c>
      <c r="M19" s="9" t="s">
        <v>16</v>
      </c>
      <c r="N19" s="59">
        <v>7488</v>
      </c>
      <c r="O19" s="59">
        <v>7488</v>
      </c>
      <c r="P19" s="59" t="s">
        <v>434</v>
      </c>
      <c r="Q19" s="135" t="s">
        <v>435</v>
      </c>
      <c r="R19" s="136">
        <v>1</v>
      </c>
      <c r="S19" s="136">
        <v>1</v>
      </c>
      <c r="T19" s="136">
        <f>180922.84+150521.36</f>
        <v>331444.19999999995</v>
      </c>
    </row>
    <row r="20" spans="2:20" ht="15.75" customHeight="1" thickBot="1">
      <c r="B20" s="139" t="s">
        <v>431</v>
      </c>
      <c r="C20" s="128">
        <v>0.27300000000000002</v>
      </c>
      <c r="D20" s="128">
        <v>1297</v>
      </c>
      <c r="E20" s="128">
        <v>0.27300000000000002</v>
      </c>
      <c r="F20" s="128">
        <v>1297</v>
      </c>
      <c r="G20" s="136" t="s">
        <v>433</v>
      </c>
      <c r="H20" s="136" t="s">
        <v>433</v>
      </c>
      <c r="I20" s="120" t="s">
        <v>416</v>
      </c>
      <c r="J20" s="120" t="s">
        <v>416</v>
      </c>
      <c r="K20" s="136">
        <v>2003</v>
      </c>
      <c r="L20" s="136">
        <v>2003</v>
      </c>
      <c r="M20" s="9" t="s">
        <v>16</v>
      </c>
      <c r="N20" s="59">
        <v>7488</v>
      </c>
      <c r="O20" s="59">
        <v>7488</v>
      </c>
      <c r="P20" s="59" t="s">
        <v>434</v>
      </c>
      <c r="Q20" s="135" t="s">
        <v>435</v>
      </c>
      <c r="R20" s="136">
        <v>1</v>
      </c>
      <c r="S20" s="136">
        <v>1</v>
      </c>
      <c r="T20" s="136">
        <f>65903.41+54854.35</f>
        <v>120757.76000000001</v>
      </c>
    </row>
    <row r="21" spans="2:20" ht="15.75" customHeight="1" thickBot="1">
      <c r="B21" s="139" t="s">
        <v>432</v>
      </c>
      <c r="C21" s="128">
        <v>0.32500000000000001</v>
      </c>
      <c r="D21" s="128">
        <v>737</v>
      </c>
      <c r="E21" s="128">
        <v>0.32500000000000001</v>
      </c>
      <c r="F21" s="128">
        <v>737</v>
      </c>
      <c r="G21" s="136" t="s">
        <v>433</v>
      </c>
      <c r="H21" s="136" t="s">
        <v>433</v>
      </c>
      <c r="I21" s="120" t="s">
        <v>416</v>
      </c>
      <c r="J21" s="9" t="s">
        <v>416</v>
      </c>
      <c r="K21" s="136">
        <v>2003</v>
      </c>
      <c r="L21" s="136">
        <v>2003</v>
      </c>
      <c r="M21" s="9" t="s">
        <v>16</v>
      </c>
      <c r="N21" s="59">
        <v>7488</v>
      </c>
      <c r="O21" s="59">
        <v>7488</v>
      </c>
      <c r="P21" s="59" t="s">
        <v>434</v>
      </c>
      <c r="Q21" s="135" t="s">
        <v>435</v>
      </c>
      <c r="R21" s="136">
        <v>1</v>
      </c>
      <c r="S21" s="136">
        <v>1</v>
      </c>
      <c r="T21" s="136">
        <f>41884.18+35059.78</f>
        <v>76943.959999999992</v>
      </c>
    </row>
    <row r="22" spans="2:20">
      <c r="I22" s="120"/>
      <c r="T22" s="142"/>
    </row>
    <row r="26" spans="2:20" ht="16.5">
      <c r="C26" s="7" t="s">
        <v>419</v>
      </c>
    </row>
    <row r="27" spans="2:20" ht="15.75" thickBot="1"/>
    <row r="28" spans="2:20" ht="90" thickBot="1">
      <c r="B28" s="114" t="s">
        <v>58</v>
      </c>
      <c r="C28" s="115" t="s">
        <v>368</v>
      </c>
      <c r="D28" s="115" t="s">
        <v>369</v>
      </c>
      <c r="E28" s="115" t="s">
        <v>436</v>
      </c>
      <c r="F28" s="115" t="s">
        <v>437</v>
      </c>
      <c r="G28" s="114" t="s">
        <v>375</v>
      </c>
      <c r="H28" s="114" t="s">
        <v>438</v>
      </c>
      <c r="I28" s="114" t="s">
        <v>377</v>
      </c>
      <c r="J28" s="114" t="s">
        <v>439</v>
      </c>
      <c r="K28" s="114" t="s">
        <v>380</v>
      </c>
      <c r="L28" s="114" t="s">
        <v>440</v>
      </c>
      <c r="M28" s="115" t="s">
        <v>69</v>
      </c>
      <c r="N28" s="115" t="s">
        <v>372</v>
      </c>
      <c r="O28" s="115" t="s">
        <v>373</v>
      </c>
      <c r="P28" s="114" t="s">
        <v>363</v>
      </c>
      <c r="Q28" s="115" t="s">
        <v>64</v>
      </c>
      <c r="R28" s="115" t="s">
        <v>381</v>
      </c>
      <c r="S28" s="115" t="s">
        <v>382</v>
      </c>
      <c r="T28" s="114" t="s">
        <v>61</v>
      </c>
    </row>
    <row r="29" spans="2:20" ht="15.75" thickBot="1">
      <c r="B29" s="9">
        <v>1</v>
      </c>
      <c r="C29" s="113">
        <v>2</v>
      </c>
      <c r="D29" s="9">
        <v>3</v>
      </c>
      <c r="E29" s="113">
        <v>4</v>
      </c>
      <c r="F29" s="9">
        <v>5</v>
      </c>
      <c r="G29" s="113">
        <v>6</v>
      </c>
      <c r="H29" s="9">
        <v>7</v>
      </c>
      <c r="I29" s="113">
        <v>8</v>
      </c>
      <c r="J29" s="9">
        <v>9</v>
      </c>
      <c r="K29" s="113">
        <v>10</v>
      </c>
      <c r="L29" s="9">
        <v>11</v>
      </c>
      <c r="M29" s="113">
        <v>12</v>
      </c>
      <c r="N29" s="9">
        <v>13</v>
      </c>
      <c r="O29" s="113">
        <v>14</v>
      </c>
      <c r="P29" s="9">
        <v>15</v>
      </c>
      <c r="Q29" s="113">
        <v>16</v>
      </c>
      <c r="R29" s="9">
        <v>17</v>
      </c>
      <c r="S29" s="113">
        <v>18</v>
      </c>
      <c r="T29" s="9">
        <v>19</v>
      </c>
    </row>
    <row r="30" spans="2:20" ht="15.75" customHeight="1" thickBot="1">
      <c r="B30" s="3"/>
      <c r="C30" s="4"/>
      <c r="D30" s="302" t="s">
        <v>68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4"/>
      <c r="R30" s="4"/>
      <c r="S30" s="4"/>
      <c r="T30" s="5"/>
    </row>
    <row r="31" spans="2:20" ht="26.25" thickBot="1">
      <c r="B31" s="139" t="s">
        <v>441</v>
      </c>
      <c r="C31" s="136">
        <v>5.7000000000000002E-2</v>
      </c>
      <c r="D31" s="136">
        <f>3831</f>
        <v>3831</v>
      </c>
      <c r="E31" s="136">
        <v>5.7000000000000002E-2</v>
      </c>
      <c r="F31" s="136">
        <f>6601</f>
        <v>6601</v>
      </c>
      <c r="G31" s="136" t="s">
        <v>433</v>
      </c>
      <c r="H31" s="136" t="s">
        <v>433</v>
      </c>
      <c r="I31" s="115" t="s">
        <v>416</v>
      </c>
      <c r="J31" s="115" t="s">
        <v>416</v>
      </c>
      <c r="K31" s="136">
        <v>2003</v>
      </c>
      <c r="L31" s="136">
        <v>2003</v>
      </c>
      <c r="M31" s="59" t="s">
        <v>16</v>
      </c>
      <c r="N31" s="64">
        <v>8448</v>
      </c>
      <c r="O31" s="64">
        <v>8448</v>
      </c>
      <c r="P31" s="64" t="s">
        <v>446</v>
      </c>
      <c r="Q31" s="135" t="s">
        <v>447</v>
      </c>
      <c r="R31" s="64">
        <v>1</v>
      </c>
      <c r="S31" s="64">
        <v>1</v>
      </c>
      <c r="T31" s="136">
        <f>74474.64+95054.4</f>
        <v>169529.03999999998</v>
      </c>
    </row>
    <row r="32" spans="2:20" ht="26.25" thickBot="1">
      <c r="B32" s="139" t="s">
        <v>442</v>
      </c>
      <c r="C32" s="128">
        <v>7.5999999999999998E-2</v>
      </c>
      <c r="D32" s="128">
        <v>864</v>
      </c>
      <c r="E32" s="128">
        <v>7.5999999999999998E-2</v>
      </c>
      <c r="F32" s="128">
        <v>1436</v>
      </c>
      <c r="G32" s="136" t="s">
        <v>433</v>
      </c>
      <c r="H32" s="136" t="s">
        <v>433</v>
      </c>
      <c r="I32" s="115" t="s">
        <v>416</v>
      </c>
      <c r="J32" s="115" t="s">
        <v>416</v>
      </c>
      <c r="K32" s="136">
        <v>2004</v>
      </c>
      <c r="L32" s="136">
        <v>2004</v>
      </c>
      <c r="M32" s="59" t="s">
        <v>16</v>
      </c>
      <c r="N32" s="64">
        <v>8448</v>
      </c>
      <c r="O32" s="64">
        <v>8448</v>
      </c>
      <c r="P32" s="64" t="s">
        <v>446</v>
      </c>
      <c r="Q32" s="135" t="s">
        <v>447</v>
      </c>
      <c r="R32" s="64">
        <v>1</v>
      </c>
      <c r="S32" s="64">
        <v>1</v>
      </c>
      <c r="T32" s="136">
        <f>19284.48+24124.8</f>
        <v>43409.279999999999</v>
      </c>
    </row>
    <row r="33" spans="2:20" ht="26.25" thickBot="1">
      <c r="B33" s="139" t="s">
        <v>431</v>
      </c>
      <c r="C33" s="128">
        <v>8.8999999999999996E-2</v>
      </c>
      <c r="D33" s="128">
        <f>1578</f>
        <v>1578</v>
      </c>
      <c r="E33" s="128">
        <v>8.8999999999999996E-2</v>
      </c>
      <c r="F33" s="128">
        <f>221+2118</f>
        <v>2339</v>
      </c>
      <c r="G33" s="136" t="s">
        <v>433</v>
      </c>
      <c r="H33" s="136" t="s">
        <v>433</v>
      </c>
      <c r="I33" s="115" t="s">
        <v>416</v>
      </c>
      <c r="J33" s="115" t="s">
        <v>416</v>
      </c>
      <c r="K33" s="136">
        <v>2005</v>
      </c>
      <c r="L33" s="136">
        <v>2005</v>
      </c>
      <c r="M33" s="59" t="s">
        <v>16</v>
      </c>
      <c r="N33" s="64">
        <v>8448</v>
      </c>
      <c r="O33" s="64">
        <v>8448</v>
      </c>
      <c r="P33" s="64" t="s">
        <v>446</v>
      </c>
      <c r="Q33" s="135" t="s">
        <v>447</v>
      </c>
      <c r="R33" s="64">
        <v>1</v>
      </c>
      <c r="S33" s="64">
        <v>1</v>
      </c>
      <c r="T33" s="136">
        <f>37872+42102</f>
        <v>79974</v>
      </c>
    </row>
    <row r="34" spans="2:20" ht="26.25" thickBot="1">
      <c r="B34" s="139" t="s">
        <v>443</v>
      </c>
      <c r="C34" s="128">
        <v>0.114</v>
      </c>
      <c r="D34" s="128">
        <f>1041</f>
        <v>1041</v>
      </c>
      <c r="E34" s="128">
        <v>0.114</v>
      </c>
      <c r="F34" s="128">
        <v>108</v>
      </c>
      <c r="G34" s="136" t="s">
        <v>433</v>
      </c>
      <c r="H34" s="136" t="s">
        <v>433</v>
      </c>
      <c r="I34" s="115" t="s">
        <v>416</v>
      </c>
      <c r="J34" s="115" t="s">
        <v>416</v>
      </c>
      <c r="K34" s="136">
        <v>2006</v>
      </c>
      <c r="L34" s="136">
        <v>2006</v>
      </c>
      <c r="M34" s="59" t="s">
        <v>16</v>
      </c>
      <c r="N34" s="59">
        <v>8448</v>
      </c>
      <c r="O34" s="59">
        <v>8448</v>
      </c>
      <c r="P34" s="64" t="s">
        <v>446</v>
      </c>
      <c r="Q34" s="135" t="s">
        <v>447</v>
      </c>
      <c r="R34" s="59">
        <v>1</v>
      </c>
      <c r="S34" s="59">
        <v>1</v>
      </c>
      <c r="T34" s="136">
        <f>26732.88+2073.6</f>
        <v>28806.48</v>
      </c>
    </row>
    <row r="35" spans="2:20" ht="26.25" thickBot="1">
      <c r="B35" s="139" t="s">
        <v>444</v>
      </c>
      <c r="C35" s="128">
        <v>0.13300000000000001</v>
      </c>
      <c r="D35" s="128">
        <v>2874</v>
      </c>
      <c r="E35" s="128">
        <v>0.13300000000000001</v>
      </c>
      <c r="F35" s="128">
        <v>190</v>
      </c>
      <c r="G35" s="136" t="s">
        <v>433</v>
      </c>
      <c r="H35" s="136" t="s">
        <v>433</v>
      </c>
      <c r="I35" s="115" t="s">
        <v>416</v>
      </c>
      <c r="J35" s="115" t="s">
        <v>416</v>
      </c>
      <c r="K35" s="136">
        <v>2007</v>
      </c>
      <c r="L35" s="136">
        <v>2007</v>
      </c>
      <c r="M35" s="59" t="s">
        <v>16</v>
      </c>
      <c r="N35" s="64">
        <v>8448</v>
      </c>
      <c r="O35" s="64">
        <v>8448</v>
      </c>
      <c r="P35" s="64" t="s">
        <v>446</v>
      </c>
      <c r="Q35" s="135" t="s">
        <v>447</v>
      </c>
      <c r="R35" s="64">
        <v>1</v>
      </c>
      <c r="S35" s="64">
        <v>1</v>
      </c>
      <c r="T35" s="136">
        <f>82081.44+4104</f>
        <v>86185.44</v>
      </c>
    </row>
    <row r="36" spans="2:20" ht="26.25" thickBot="1">
      <c r="B36" s="139" t="s">
        <v>445</v>
      </c>
      <c r="C36" s="128">
        <v>0.159</v>
      </c>
      <c r="D36" s="128">
        <v>1142</v>
      </c>
      <c r="E36" s="121" t="s">
        <v>16</v>
      </c>
      <c r="F36" s="64">
        <v>0</v>
      </c>
      <c r="G36" s="136" t="s">
        <v>433</v>
      </c>
      <c r="H36" s="64" t="s">
        <v>16</v>
      </c>
      <c r="I36" s="59" t="s">
        <v>416</v>
      </c>
      <c r="J36" s="117" t="s">
        <v>16</v>
      </c>
      <c r="K36" s="136">
        <v>2008</v>
      </c>
      <c r="L36" s="64" t="s">
        <v>16</v>
      </c>
      <c r="M36" s="59" t="s">
        <v>16</v>
      </c>
      <c r="N36" s="64">
        <v>8448</v>
      </c>
      <c r="O36" s="64"/>
      <c r="P36" s="64" t="s">
        <v>446</v>
      </c>
      <c r="Q36" s="135" t="s">
        <v>447</v>
      </c>
      <c r="R36" s="64">
        <v>1</v>
      </c>
      <c r="S36" s="64" t="s">
        <v>16</v>
      </c>
      <c r="T36" s="136">
        <f>34671.12</f>
        <v>34671.120000000003</v>
      </c>
    </row>
  </sheetData>
  <mergeCells count="2">
    <mergeCell ref="D8:P8"/>
    <mergeCell ref="D30:P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14"/>
  <sheetViews>
    <sheetView zoomScale="70" zoomScaleNormal="70" workbookViewId="0">
      <selection activeCell="L21" sqref="L21"/>
    </sheetView>
  </sheetViews>
  <sheetFormatPr defaultRowHeight="15"/>
  <cols>
    <col min="1" max="1" width="2.140625" customWidth="1"/>
    <col min="2" max="2" width="16" customWidth="1"/>
    <col min="3" max="3" width="20.140625" customWidth="1"/>
    <col min="4" max="4" width="13.28515625" customWidth="1"/>
    <col min="5" max="5" width="17.28515625" customWidth="1"/>
    <col min="7" max="7" width="13.85546875" customWidth="1"/>
    <col min="8" max="8" width="19.140625" customWidth="1"/>
    <col min="9" max="10" width="12.42578125" customWidth="1"/>
    <col min="11" max="11" width="15.85546875" customWidth="1"/>
    <col min="12" max="12" width="16.42578125" customWidth="1"/>
    <col min="13" max="13" width="14" customWidth="1"/>
    <col min="14" max="14" width="11.85546875" customWidth="1"/>
  </cols>
  <sheetData>
    <row r="2" spans="2:14" ht="16.5">
      <c r="N2" s="13" t="s">
        <v>70</v>
      </c>
    </row>
    <row r="3" spans="2:14" ht="16.5">
      <c r="B3" s="1"/>
    </row>
    <row r="4" spans="2:14" ht="16.5">
      <c r="B4" s="7" t="s">
        <v>353</v>
      </c>
    </row>
    <row r="5" spans="2:14" ht="15.75" thickBot="1"/>
    <row r="6" spans="2:14" ht="40.5" customHeight="1" thickBot="1">
      <c r="B6" s="327" t="s">
        <v>58</v>
      </c>
      <c r="C6" s="327" t="s">
        <v>59</v>
      </c>
      <c r="D6" s="311" t="s">
        <v>71</v>
      </c>
      <c r="E6" s="327" t="s">
        <v>62</v>
      </c>
      <c r="F6" s="327" t="s">
        <v>72</v>
      </c>
      <c r="G6" s="327" t="s">
        <v>76</v>
      </c>
      <c r="H6" s="327" t="s">
        <v>77</v>
      </c>
      <c r="I6" s="332" t="s">
        <v>73</v>
      </c>
      <c r="J6" s="333"/>
      <c r="K6" s="327" t="s">
        <v>60</v>
      </c>
      <c r="L6" s="327" t="s">
        <v>69</v>
      </c>
      <c r="M6" s="327" t="s">
        <v>65</v>
      </c>
      <c r="N6" s="327" t="s">
        <v>61</v>
      </c>
    </row>
    <row r="7" spans="2:14" ht="26.25" thickBot="1">
      <c r="B7" s="328"/>
      <c r="C7" s="328"/>
      <c r="D7" s="331"/>
      <c r="E7" s="328"/>
      <c r="F7" s="328"/>
      <c r="G7" s="328"/>
      <c r="H7" s="328"/>
      <c r="I7" s="9" t="s">
        <v>74</v>
      </c>
      <c r="J7" s="10" t="s">
        <v>75</v>
      </c>
      <c r="K7" s="328"/>
      <c r="L7" s="328"/>
      <c r="M7" s="328"/>
      <c r="N7" s="328"/>
    </row>
    <row r="8" spans="2:14" ht="15.75" thickBot="1">
      <c r="B8" s="29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</row>
    <row r="9" spans="2:14" ht="15.75" thickBot="1">
      <c r="B9" s="32"/>
      <c r="C9" s="38"/>
      <c r="D9" s="38"/>
      <c r="E9" s="2"/>
      <c r="F9" s="2"/>
      <c r="G9" s="2"/>
      <c r="H9" s="2"/>
      <c r="I9" s="2"/>
      <c r="J9" s="2"/>
      <c r="K9" s="2"/>
      <c r="L9" s="2"/>
      <c r="M9" s="2"/>
      <c r="N9" s="5"/>
    </row>
    <row r="10" spans="2:14" ht="15.75" thickBot="1">
      <c r="B10" s="32"/>
      <c r="C10" s="38"/>
      <c r="D10" s="38"/>
      <c r="E10" s="2"/>
      <c r="F10" s="2"/>
      <c r="G10" s="2"/>
      <c r="H10" s="2"/>
      <c r="I10" s="2"/>
      <c r="J10" s="2"/>
      <c r="K10" s="2"/>
      <c r="L10" s="2"/>
      <c r="M10" s="2"/>
      <c r="N10" s="5"/>
    </row>
    <row r="11" spans="2:14" ht="15.75" thickBot="1">
      <c r="B11" s="32"/>
      <c r="C11" s="38"/>
      <c r="D11" s="38"/>
      <c r="E11" s="2"/>
      <c r="F11" s="2"/>
      <c r="G11" s="2"/>
      <c r="H11" s="2"/>
      <c r="I11" s="2"/>
      <c r="J11" s="2"/>
      <c r="K11" s="2"/>
      <c r="L11" s="2"/>
      <c r="M11" s="2"/>
      <c r="N11" s="5"/>
    </row>
    <row r="12" spans="2:14" ht="15.75" thickBot="1">
      <c r="B12" s="32"/>
      <c r="C12" s="38"/>
      <c r="D12" s="38"/>
      <c r="E12" s="2"/>
      <c r="F12" s="2"/>
      <c r="G12" s="2"/>
      <c r="H12" s="2"/>
      <c r="I12" s="2"/>
      <c r="J12" s="2"/>
      <c r="K12" s="2"/>
      <c r="L12" s="2"/>
      <c r="M12" s="2"/>
      <c r="N12" s="5"/>
    </row>
    <row r="14" spans="2:14" ht="16.5">
      <c r="B14" s="14" t="s">
        <v>78</v>
      </c>
    </row>
  </sheetData>
  <mergeCells count="12">
    <mergeCell ref="N6:N7"/>
    <mergeCell ref="E6:E7"/>
    <mergeCell ref="G6:G7"/>
    <mergeCell ref="H6:H7"/>
    <mergeCell ref="L6:L7"/>
    <mergeCell ref="M6:M7"/>
    <mergeCell ref="K6:K7"/>
    <mergeCell ref="B6:B7"/>
    <mergeCell ref="C6:C7"/>
    <mergeCell ref="D6:D7"/>
    <mergeCell ref="F6:F7"/>
    <mergeCell ref="I6:J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5"/>
  <sheetViews>
    <sheetView zoomScale="70" zoomScaleNormal="70" workbookViewId="0">
      <selection activeCell="C19" sqref="C19"/>
    </sheetView>
  </sheetViews>
  <sheetFormatPr defaultRowHeight="15"/>
  <cols>
    <col min="3" max="3" width="19.85546875" customWidth="1"/>
    <col min="5" max="5" width="13.85546875" customWidth="1"/>
    <col min="9" max="9" width="14.28515625" customWidth="1"/>
    <col min="11" max="11" width="14.28515625" customWidth="1"/>
    <col min="13" max="13" width="13.85546875" customWidth="1"/>
    <col min="14" max="14" width="16.7109375" customWidth="1"/>
    <col min="15" max="15" width="19.140625" customWidth="1"/>
  </cols>
  <sheetData>
    <row r="2" spans="2:20" ht="16.5">
      <c r="T2" s="13" t="s">
        <v>79</v>
      </c>
    </row>
    <row r="3" spans="2:20" ht="16.5">
      <c r="B3" s="1"/>
    </row>
    <row r="4" spans="2:20" ht="16.5">
      <c r="B4" s="7" t="s">
        <v>354</v>
      </c>
    </row>
    <row r="5" spans="2:20" ht="15.75" thickBot="1"/>
    <row r="6" spans="2:20">
      <c r="B6" s="327" t="s">
        <v>80</v>
      </c>
      <c r="C6" s="327" t="s">
        <v>58</v>
      </c>
      <c r="D6" s="332" t="s">
        <v>81</v>
      </c>
      <c r="E6" s="333"/>
      <c r="F6" s="332" t="s">
        <v>82</v>
      </c>
      <c r="G6" s="333"/>
      <c r="H6" s="332" t="s">
        <v>83</v>
      </c>
      <c r="I6" s="333"/>
      <c r="J6" s="332" t="s">
        <v>84</v>
      </c>
      <c r="K6" s="333"/>
      <c r="L6" s="332" t="s">
        <v>84</v>
      </c>
      <c r="M6" s="333"/>
      <c r="N6" s="30" t="s">
        <v>85</v>
      </c>
      <c r="O6" s="30" t="s">
        <v>89</v>
      </c>
    </row>
    <row r="7" spans="2:20">
      <c r="B7" s="338"/>
      <c r="C7" s="338"/>
      <c r="D7" s="334"/>
      <c r="E7" s="335"/>
      <c r="F7" s="334"/>
      <c r="G7" s="335"/>
      <c r="H7" s="334"/>
      <c r="I7" s="335"/>
      <c r="J7" s="334"/>
      <c r="K7" s="335"/>
      <c r="L7" s="334"/>
      <c r="M7" s="335"/>
      <c r="N7" s="31" t="s">
        <v>86</v>
      </c>
      <c r="O7" s="31" t="s">
        <v>90</v>
      </c>
    </row>
    <row r="8" spans="2:20">
      <c r="B8" s="338"/>
      <c r="C8" s="338"/>
      <c r="D8" s="334"/>
      <c r="E8" s="335"/>
      <c r="F8" s="334"/>
      <c r="G8" s="335"/>
      <c r="H8" s="334"/>
      <c r="I8" s="335"/>
      <c r="J8" s="334"/>
      <c r="K8" s="335"/>
      <c r="L8" s="334"/>
      <c r="M8" s="335"/>
      <c r="N8" s="31" t="s">
        <v>87</v>
      </c>
      <c r="O8" s="31" t="s">
        <v>91</v>
      </c>
    </row>
    <row r="9" spans="2:20" ht="15.75" thickBot="1">
      <c r="B9" s="338"/>
      <c r="C9" s="338"/>
      <c r="D9" s="336"/>
      <c r="E9" s="337"/>
      <c r="F9" s="336"/>
      <c r="G9" s="337"/>
      <c r="H9" s="336"/>
      <c r="I9" s="337"/>
      <c r="J9" s="336"/>
      <c r="K9" s="337"/>
      <c r="L9" s="336"/>
      <c r="M9" s="337"/>
      <c r="N9" s="2" t="s">
        <v>88</v>
      </c>
      <c r="O9" s="2" t="s">
        <v>92</v>
      </c>
    </row>
    <row r="10" spans="2:20" ht="15.75" thickBot="1">
      <c r="B10" s="328"/>
      <c r="C10" s="328"/>
      <c r="D10" s="2" t="s">
        <v>93</v>
      </c>
      <c r="E10" s="10" t="s">
        <v>94</v>
      </c>
      <c r="F10" s="2" t="s">
        <v>93</v>
      </c>
      <c r="G10" s="2" t="s">
        <v>93</v>
      </c>
      <c r="H10" s="2" t="s">
        <v>93</v>
      </c>
      <c r="I10" s="2" t="s">
        <v>94</v>
      </c>
      <c r="J10" s="2" t="s">
        <v>93</v>
      </c>
      <c r="K10" s="2" t="s">
        <v>94</v>
      </c>
      <c r="L10" s="2" t="s">
        <v>93</v>
      </c>
      <c r="M10" s="2" t="s">
        <v>94</v>
      </c>
      <c r="N10" s="2" t="s">
        <v>94</v>
      </c>
      <c r="O10" s="2" t="s">
        <v>95</v>
      </c>
    </row>
    <row r="11" spans="2:20" ht="15.75" thickBot="1">
      <c r="B11" s="6"/>
      <c r="C11" s="2">
        <v>1</v>
      </c>
      <c r="D11" s="2">
        <v>2</v>
      </c>
      <c r="E11" s="2">
        <v>3</v>
      </c>
      <c r="F11" s="2">
        <v>4</v>
      </c>
      <c r="G11" s="2">
        <v>12</v>
      </c>
      <c r="H11" s="2">
        <v>12</v>
      </c>
      <c r="I11" s="2">
        <v>14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</row>
    <row r="12" spans="2:20" ht="15.75" thickBot="1">
      <c r="B12" s="39"/>
      <c r="C12" s="3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20" ht="15.75" thickBot="1">
      <c r="B13" s="39"/>
      <c r="C13" s="3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20" ht="15.75" thickBot="1">
      <c r="B14" s="39"/>
      <c r="C14" s="3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20" ht="15.75" thickBot="1">
      <c r="B15" s="39"/>
      <c r="C15" s="3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</sheetData>
  <mergeCells count="7">
    <mergeCell ref="L6:M9"/>
    <mergeCell ref="B6:B10"/>
    <mergeCell ref="C6:C10"/>
    <mergeCell ref="D6:E9"/>
    <mergeCell ref="F6:G9"/>
    <mergeCell ref="H6:I9"/>
    <mergeCell ref="J6:K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38</vt:i4>
      </vt:variant>
    </vt:vector>
  </HeadingPairs>
  <TitlesOfParts>
    <vt:vector size="64" baseType="lpstr">
      <vt:lpstr>титул</vt:lpstr>
      <vt:lpstr>5.3</vt:lpstr>
      <vt:lpstr>5.4</vt:lpstr>
      <vt:lpstr>5.5</vt:lpstr>
      <vt:lpstr>6.1</vt:lpstr>
      <vt:lpstr>6.2</vt:lpstr>
      <vt:lpstr>6.3</vt:lpstr>
      <vt:lpstr>6.4</vt:lpstr>
      <vt:lpstr>6.5</vt:lpstr>
      <vt:lpstr>6.6</vt:lpstr>
      <vt:lpstr>6.6а</vt:lpstr>
      <vt:lpstr>6.7</vt:lpstr>
      <vt:lpstr>6.8</vt:lpstr>
      <vt:lpstr>6.9</vt:lpstr>
      <vt:lpstr>6.10</vt:lpstr>
      <vt:lpstr>6.11</vt:lpstr>
      <vt:lpstr>6.12</vt:lpstr>
      <vt:lpstr>6.13</vt:lpstr>
      <vt:lpstr>7</vt:lpstr>
      <vt:lpstr>8.1</vt:lpstr>
      <vt:lpstr>8.2</vt:lpstr>
      <vt:lpstr>9.1</vt:lpstr>
      <vt:lpstr>10.1</vt:lpstr>
      <vt:lpstr>10.2</vt:lpstr>
      <vt:lpstr>11.1</vt:lpstr>
      <vt:lpstr>14</vt:lpstr>
      <vt:lpstr>'10.1'!sub_100001</vt:lpstr>
      <vt:lpstr>'10.1'!sub_10011</vt:lpstr>
      <vt:lpstr>'10.1'!sub_10022</vt:lpstr>
      <vt:lpstr>'10.2'!sub_10100</vt:lpstr>
      <vt:lpstr>'10.2'!sub_10211</vt:lpstr>
      <vt:lpstr>'10.2'!sub_10222</vt:lpstr>
      <vt:lpstr>'11.1'!sub_11001</vt:lpstr>
      <vt:lpstr>'14'!sub_140001</vt:lpstr>
      <vt:lpstr>'14'!sub_140002</vt:lpstr>
      <vt:lpstr>'14'!sub_140003</vt:lpstr>
      <vt:lpstr>'5.3'!sub_50003</vt:lpstr>
      <vt:lpstr>'5.5'!sub_50005</vt:lpstr>
      <vt:lpstr>'5.3'!sub_53100</vt:lpstr>
      <vt:lpstr>'5.3'!sub_53111</vt:lpstr>
      <vt:lpstr>'5.3'!sub_53222</vt:lpstr>
      <vt:lpstr>'5.4'!sub_54100</vt:lpstr>
      <vt:lpstr>'5.5'!sub_55100</vt:lpstr>
      <vt:lpstr>'6.6'!sub_6006</vt:lpstr>
      <vt:lpstr>'6.6'!sub_6061</vt:lpstr>
      <vt:lpstr>'6.1'!sub_61</vt:lpstr>
      <vt:lpstr>'6.10'!sub_610</vt:lpstr>
      <vt:lpstr>'6.11'!sub_611</vt:lpstr>
      <vt:lpstr>'6.12'!sub_612</vt:lpstr>
      <vt:lpstr>'6.13'!sub_613</vt:lpstr>
      <vt:lpstr>'6.2'!sub_62</vt:lpstr>
      <vt:lpstr>'6.3'!sub_63</vt:lpstr>
      <vt:lpstr>'6.4'!sub_64</vt:lpstr>
      <vt:lpstr>'6.5'!sub_65</vt:lpstr>
      <vt:lpstr>'6.6'!sub_67</vt:lpstr>
      <vt:lpstr>'6.8'!sub_68</vt:lpstr>
      <vt:lpstr>'6.9'!sub_69</vt:lpstr>
      <vt:lpstr>'8.1'!sub_80001</vt:lpstr>
      <vt:lpstr>'8.2'!sub_80002</vt:lpstr>
      <vt:lpstr>'8.1'!sub_81011</vt:lpstr>
      <vt:lpstr>'8.1'!sub_81022</vt:lpstr>
      <vt:lpstr>'8.1'!sub_81033</vt:lpstr>
      <vt:lpstr>'8.2'!sub_82011</vt:lpstr>
      <vt:lpstr>'9.1'!sub_90001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2015-02-25T07:19:14Z</dcterms:created>
  <dcterms:modified xsi:type="dcterms:W3CDTF">2015-09-22T05:51:14Z</dcterms:modified>
</cp:coreProperties>
</file>